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js.Rastislav\Documents\ZSSK\2024\ŠU\EJ\"/>
    </mc:Choice>
  </mc:AlternateContent>
  <xr:revisionPtr revIDLastSave="0" documentId="13_ncr:1_{A2514BE0-ECC7-4C19-9BAA-A4659D7FCF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ametre" sheetId="1" r:id="rId1"/>
    <sheet name="Vstupy" sheetId="37" r:id="rId2"/>
    <sheet name="01 Investičné výdavky" sheetId="2" r:id="rId3"/>
    <sheet name="02 Zostatková hodnota" sheetId="9" r:id="rId4"/>
    <sheet name="03 A_Prevádzkové výdavky" sheetId="38" r:id="rId5"/>
    <sheet name="03 B_Výdavky na obnovu" sheetId="39" r:id="rId6"/>
    <sheet name="03 Prevádzkové výdavky" sheetId="3" r:id="rId7"/>
    <sheet name="04 Prevádzkové príjmy" sheetId="4" r:id="rId8"/>
    <sheet name="05 Financovanie" sheetId="7" r:id="rId9"/>
    <sheet name="06 Finančná analýza" sheetId="6" r:id="rId10"/>
    <sheet name="07 Čas cestujúcich" sheetId="10" r:id="rId11"/>
    <sheet name="08 Spotreba PHM_E (cesty)" sheetId="31" r:id="rId12"/>
    <sheet name="09 Ostatné náklady (cesty)" sheetId="32" r:id="rId13"/>
    <sheet name="10 Bezpečnosť (cesty)" sheetId="33" r:id="rId14"/>
    <sheet name="10_A Bezpečnosť (cesty)" sheetId="40" r:id="rId15"/>
    <sheet name="11a Znečisťujúce látky (voz.)" sheetId="18" r:id="rId16"/>
    <sheet name="11b Znečisťujúce látky (cesty)" sheetId="34" r:id="rId17"/>
    <sheet name="12a Skleníkové plyny (voz.)" sheetId="23" r:id="rId18"/>
    <sheet name="12b Skleníkové plyny (cesty)" sheetId="35" r:id="rId19"/>
    <sheet name="13a Hluk (voz.)" sheetId="24" r:id="rId20"/>
    <sheet name="13b Hluk (cesty)" sheetId="36" r:id="rId21"/>
    <sheet name="14 Ekonomická analýza" sheetId="19" r:id="rId22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tn1" localSheetId="2">'01 Investičné výdavky'!#REF!</definedName>
    <definedName name="_ftn1" localSheetId="3">'02 Zostatková hodnota'!#REF!</definedName>
    <definedName name="_ftnref1" localSheetId="2">'01 Investičné výdavky'!#REF!</definedName>
    <definedName name="_ftnref1" localSheetId="3">'02 Zostatková hodnota'!#REF!</definedName>
    <definedName name="_xlnm.Print_Titles" localSheetId="4">'03 A_Prevádzkové výdavky'!$A:$A</definedName>
    <definedName name="_xlnm.Print_Titles" localSheetId="5">'03 B_Výdavky na obnovu'!$A:$A</definedName>
    <definedName name="_xlnm.Print_Titles" localSheetId="1">Vstupy!$A:$A</definedName>
    <definedName name="_xlnm.Print_Area" localSheetId="4">'03 A_Prevádzkové výdavky'!$A$1:$AI$198</definedName>
    <definedName name="Pal_Workbook_GUID" hidden="1">"YAVAPPP159GAT4C47DU3K6SV"</definedName>
    <definedName name="PalisadeReportWorkbookCreatedBy">"AtRisk"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Z_9595306B_A10D_47AC_9B60_70AF918F49ED_.wvu.Rows" localSheetId="4" hidden="1">'03 A_Prevádzkové výdavky'!#REF!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4" l="1"/>
  <c r="F15" i="24"/>
  <c r="G15" i="24"/>
  <c r="H15" i="24"/>
  <c r="I15" i="24"/>
  <c r="J15" i="24"/>
  <c r="K15" i="24"/>
  <c r="L15" i="24"/>
  <c r="M15" i="24"/>
  <c r="N15" i="24"/>
  <c r="O15" i="24"/>
  <c r="P15" i="24"/>
  <c r="Q15" i="24"/>
  <c r="R15" i="24"/>
  <c r="S15" i="24"/>
  <c r="T15" i="24"/>
  <c r="U15" i="24"/>
  <c r="V15" i="24"/>
  <c r="W15" i="24"/>
  <c r="X15" i="24"/>
  <c r="Y15" i="24"/>
  <c r="Z15" i="24"/>
  <c r="AA15" i="24"/>
  <c r="AB15" i="24"/>
  <c r="AC15" i="24"/>
  <c r="AD15" i="24"/>
  <c r="AE15" i="24"/>
  <c r="AF15" i="24"/>
  <c r="AG15" i="24"/>
  <c r="AH15" i="24"/>
  <c r="AI15" i="24"/>
  <c r="AJ15" i="24"/>
  <c r="AK15" i="24"/>
  <c r="AL15" i="24"/>
  <c r="E16" i="24"/>
  <c r="F16" i="24"/>
  <c r="G16" i="24"/>
  <c r="H16" i="24"/>
  <c r="I16" i="24"/>
  <c r="J16" i="24"/>
  <c r="K16" i="24"/>
  <c r="L16" i="24"/>
  <c r="M16" i="24"/>
  <c r="N16" i="24"/>
  <c r="O16" i="24"/>
  <c r="P16" i="24"/>
  <c r="Q16" i="24"/>
  <c r="R16" i="24"/>
  <c r="S16" i="24"/>
  <c r="T16" i="24"/>
  <c r="U16" i="24"/>
  <c r="V16" i="24"/>
  <c r="W16" i="24"/>
  <c r="X16" i="24"/>
  <c r="Y16" i="24"/>
  <c r="Z16" i="24"/>
  <c r="AA16" i="24"/>
  <c r="AB16" i="24"/>
  <c r="AC16" i="24"/>
  <c r="AD16" i="24"/>
  <c r="AE16" i="24"/>
  <c r="AF16" i="24"/>
  <c r="AG16" i="24"/>
  <c r="AH16" i="24"/>
  <c r="AI16" i="24"/>
  <c r="AJ16" i="24"/>
  <c r="AK16" i="24"/>
  <c r="AL16" i="24"/>
  <c r="D16" i="24"/>
  <c r="D15" i="24"/>
  <c r="E61" i="23" l="1"/>
  <c r="F61" i="23"/>
  <c r="G61" i="23"/>
  <c r="H61" i="23"/>
  <c r="I61" i="23"/>
  <c r="J61" i="23"/>
  <c r="K61" i="23"/>
  <c r="L61" i="23"/>
  <c r="M61" i="23"/>
  <c r="N61" i="23"/>
  <c r="O61" i="23"/>
  <c r="P61" i="23"/>
  <c r="Q61" i="23"/>
  <c r="R61" i="23"/>
  <c r="S61" i="23"/>
  <c r="T61" i="23"/>
  <c r="U61" i="23"/>
  <c r="V61" i="23"/>
  <c r="W61" i="23"/>
  <c r="X61" i="23"/>
  <c r="Y61" i="23"/>
  <c r="Z61" i="23"/>
  <c r="AA61" i="23"/>
  <c r="AB61" i="23"/>
  <c r="AC61" i="23"/>
  <c r="AD61" i="23"/>
  <c r="AE61" i="23"/>
  <c r="AF61" i="23"/>
  <c r="AG61" i="23"/>
  <c r="AH61" i="23"/>
  <c r="AI61" i="23"/>
  <c r="AJ61" i="23"/>
  <c r="AK61" i="23"/>
  <c r="AL61" i="23"/>
  <c r="E60" i="23"/>
  <c r="F60" i="23"/>
  <c r="G60" i="23"/>
  <c r="H60" i="23"/>
  <c r="I60" i="23"/>
  <c r="J60" i="23"/>
  <c r="K60" i="23"/>
  <c r="L60" i="23"/>
  <c r="M60" i="23"/>
  <c r="N60" i="23"/>
  <c r="O60" i="23"/>
  <c r="P60" i="23"/>
  <c r="Q60" i="23"/>
  <c r="R60" i="23"/>
  <c r="S60" i="23"/>
  <c r="T60" i="23"/>
  <c r="U60" i="23"/>
  <c r="V60" i="23"/>
  <c r="W60" i="23"/>
  <c r="X60" i="23"/>
  <c r="Y60" i="23"/>
  <c r="Z60" i="23"/>
  <c r="AA60" i="23"/>
  <c r="AB60" i="23"/>
  <c r="AC60" i="23"/>
  <c r="AD60" i="23"/>
  <c r="AE60" i="23"/>
  <c r="AF60" i="23"/>
  <c r="AG60" i="23"/>
  <c r="AH60" i="23"/>
  <c r="AI60" i="23"/>
  <c r="AJ60" i="23"/>
  <c r="AK60" i="23"/>
  <c r="AL60" i="23"/>
  <c r="D61" i="23"/>
  <c r="E44" i="23" l="1"/>
  <c r="F44" i="23"/>
  <c r="D44" i="23"/>
  <c r="G44" i="23"/>
  <c r="E33" i="32"/>
  <c r="F33" i="32"/>
  <c r="G33" i="32"/>
  <c r="H33" i="32"/>
  <c r="I33" i="32"/>
  <c r="J33" i="32"/>
  <c r="K33" i="32"/>
  <c r="L33" i="32"/>
  <c r="M33" i="32"/>
  <c r="N33" i="32"/>
  <c r="O33" i="32"/>
  <c r="P33" i="32"/>
  <c r="Q33" i="32"/>
  <c r="R33" i="32"/>
  <c r="S33" i="32"/>
  <c r="T33" i="32"/>
  <c r="U33" i="32"/>
  <c r="V33" i="32"/>
  <c r="W33" i="32"/>
  <c r="X33" i="32"/>
  <c r="Y33" i="32"/>
  <c r="Z33" i="32"/>
  <c r="AA33" i="32"/>
  <c r="AB33" i="32"/>
  <c r="AC33" i="32"/>
  <c r="AD33" i="32"/>
  <c r="AE33" i="32"/>
  <c r="AF33" i="32"/>
  <c r="AG33" i="32"/>
  <c r="AH33" i="32"/>
  <c r="AI33" i="32"/>
  <c r="AJ33" i="32"/>
  <c r="AK33" i="32"/>
  <c r="AL33" i="32"/>
  <c r="D33" i="32"/>
  <c r="F195" i="38"/>
  <c r="G195" i="38"/>
  <c r="H195" i="38"/>
  <c r="I195" i="38"/>
  <c r="J195" i="38"/>
  <c r="K195" i="38"/>
  <c r="L195" i="38"/>
  <c r="M195" i="38"/>
  <c r="N195" i="38"/>
  <c r="O195" i="38"/>
  <c r="P195" i="38"/>
  <c r="Q195" i="38"/>
  <c r="R195" i="38"/>
  <c r="S195" i="38"/>
  <c r="T195" i="38"/>
  <c r="U195" i="38"/>
  <c r="V195" i="38"/>
  <c r="W195" i="38"/>
  <c r="X195" i="38"/>
  <c r="Y195" i="38"/>
  <c r="Z195" i="38"/>
  <c r="AA195" i="38"/>
  <c r="AB195" i="38"/>
  <c r="AC195" i="38"/>
  <c r="AD195" i="38"/>
  <c r="AE195" i="38"/>
  <c r="AF195" i="38"/>
  <c r="AG195" i="38"/>
  <c r="AH195" i="38"/>
  <c r="AI195" i="38"/>
  <c r="AJ195" i="38"/>
  <c r="AK195" i="38"/>
  <c r="AL195" i="38"/>
  <c r="AM195" i="38"/>
  <c r="E195" i="38"/>
  <c r="F193" i="38"/>
  <c r="G193" i="38"/>
  <c r="H193" i="38"/>
  <c r="I193" i="38"/>
  <c r="J193" i="38"/>
  <c r="K193" i="38"/>
  <c r="L193" i="38"/>
  <c r="M193" i="38"/>
  <c r="N193" i="38"/>
  <c r="O193" i="38"/>
  <c r="P193" i="38"/>
  <c r="Q193" i="38"/>
  <c r="R193" i="38"/>
  <c r="S193" i="38"/>
  <c r="T193" i="38"/>
  <c r="U193" i="38"/>
  <c r="V193" i="38"/>
  <c r="W193" i="38"/>
  <c r="X193" i="38"/>
  <c r="Y193" i="38"/>
  <c r="Z193" i="38"/>
  <c r="AA193" i="38"/>
  <c r="AB193" i="38"/>
  <c r="AC193" i="38"/>
  <c r="AD193" i="38"/>
  <c r="AE193" i="38"/>
  <c r="AF193" i="38"/>
  <c r="AG193" i="38"/>
  <c r="AH193" i="38"/>
  <c r="AI193" i="38"/>
  <c r="AJ193" i="38"/>
  <c r="AK193" i="38"/>
  <c r="AL193" i="38"/>
  <c r="AM193" i="38"/>
  <c r="E193" i="38"/>
  <c r="F7" i="2"/>
  <c r="F8" i="2"/>
  <c r="F9" i="2"/>
  <c r="F10" i="2"/>
  <c r="F6" i="2"/>
  <c r="E7" i="2"/>
  <c r="E8" i="2"/>
  <c r="E9" i="2"/>
  <c r="E10" i="2"/>
  <c r="E6" i="2"/>
  <c r="D14" i="9"/>
  <c r="D15" i="9"/>
  <c r="D16" i="9"/>
  <c r="D17" i="9"/>
  <c r="D18" i="9"/>
  <c r="M7" i="39"/>
  <c r="N7" i="39"/>
  <c r="O7" i="39"/>
  <c r="L7" i="39"/>
  <c r="AG7" i="39"/>
  <c r="AH7" i="39"/>
  <c r="AI7" i="39"/>
  <c r="AF7" i="39"/>
  <c r="W7" i="39"/>
  <c r="X7" i="39"/>
  <c r="Y7" i="39"/>
  <c r="V7" i="39"/>
  <c r="H44" i="23"/>
  <c r="I44" i="23"/>
  <c r="J44" i="23"/>
  <c r="K44" i="23"/>
  <c r="L44" i="23"/>
  <c r="M44" i="23"/>
  <c r="N44" i="23"/>
  <c r="O44" i="23"/>
  <c r="P44" i="23"/>
  <c r="Q44" i="23"/>
  <c r="R44" i="23"/>
  <c r="S44" i="23"/>
  <c r="T44" i="23"/>
  <c r="U44" i="23"/>
  <c r="V44" i="23"/>
  <c r="W44" i="23"/>
  <c r="X44" i="23"/>
  <c r="Y44" i="23"/>
  <c r="Z44" i="23"/>
  <c r="AA44" i="23"/>
  <c r="AB44" i="23"/>
  <c r="AC44" i="23"/>
  <c r="AD44" i="23"/>
  <c r="AE44" i="23"/>
  <c r="AF44" i="23"/>
  <c r="AG44" i="23"/>
  <c r="AH44" i="23"/>
  <c r="AI44" i="23"/>
  <c r="AJ44" i="23"/>
  <c r="AK44" i="23"/>
  <c r="AL44" i="23"/>
  <c r="E6" i="24" l="1"/>
  <c r="F6" i="24"/>
  <c r="G6" i="24"/>
  <c r="H6" i="24"/>
  <c r="I6" i="24"/>
  <c r="J6" i="24"/>
  <c r="K6" i="24"/>
  <c r="L6" i="24"/>
  <c r="M6" i="24"/>
  <c r="N6" i="24"/>
  <c r="O6" i="24"/>
  <c r="P6" i="24"/>
  <c r="Q6" i="24"/>
  <c r="R6" i="24"/>
  <c r="S6" i="24"/>
  <c r="T6" i="24"/>
  <c r="U6" i="24"/>
  <c r="V6" i="24"/>
  <c r="W6" i="24"/>
  <c r="X6" i="24"/>
  <c r="Y6" i="24"/>
  <c r="Z6" i="24"/>
  <c r="AA6" i="24"/>
  <c r="AB6" i="24"/>
  <c r="AC6" i="24"/>
  <c r="AD6" i="24"/>
  <c r="AE6" i="24"/>
  <c r="AF6" i="24"/>
  <c r="AG6" i="24"/>
  <c r="AH6" i="24"/>
  <c r="AI6" i="24"/>
  <c r="AJ6" i="24"/>
  <c r="AK6" i="24"/>
  <c r="AL6" i="24"/>
  <c r="E7" i="24"/>
  <c r="F7" i="24"/>
  <c r="G7" i="24"/>
  <c r="H7" i="24"/>
  <c r="I7" i="24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AG7" i="24"/>
  <c r="AH7" i="24"/>
  <c r="AI7" i="24"/>
  <c r="AJ7" i="24"/>
  <c r="AK7" i="24"/>
  <c r="AL7" i="24"/>
  <c r="D7" i="24"/>
  <c r="D6" i="24"/>
  <c r="F121" i="37"/>
  <c r="F120" i="37"/>
  <c r="E35" i="23"/>
  <c r="F35" i="23"/>
  <c r="G35" i="23"/>
  <c r="H35" i="23"/>
  <c r="I35" i="23"/>
  <c r="J35" i="23"/>
  <c r="K35" i="23"/>
  <c r="L35" i="23"/>
  <c r="M35" i="23"/>
  <c r="N35" i="23"/>
  <c r="O35" i="23"/>
  <c r="P35" i="23"/>
  <c r="Q35" i="23"/>
  <c r="R35" i="23"/>
  <c r="S35" i="23"/>
  <c r="T35" i="23"/>
  <c r="U35" i="23"/>
  <c r="V35" i="23"/>
  <c r="W35" i="23"/>
  <c r="X35" i="23"/>
  <c r="Y35" i="23"/>
  <c r="Z35" i="23"/>
  <c r="AA35" i="23"/>
  <c r="AB35" i="23"/>
  <c r="AC35" i="23"/>
  <c r="AD35" i="23"/>
  <c r="AE35" i="23"/>
  <c r="AF35" i="23"/>
  <c r="AG35" i="23"/>
  <c r="AH35" i="23"/>
  <c r="AI35" i="23"/>
  <c r="AJ35" i="23"/>
  <c r="AK35" i="23"/>
  <c r="AL35" i="23"/>
  <c r="D35" i="23"/>
  <c r="C64" i="40" l="1"/>
  <c r="AH47" i="40"/>
  <c r="AH56" i="40" s="1"/>
  <c r="AH66" i="40" s="1"/>
  <c r="AI47" i="40"/>
  <c r="AJ47" i="40"/>
  <c r="AK47" i="40"/>
  <c r="AL47" i="40"/>
  <c r="AI56" i="40"/>
  <c r="AJ56" i="40"/>
  <c r="AK56" i="40"/>
  <c r="AL56" i="40"/>
  <c r="AI66" i="40"/>
  <c r="AJ66" i="40"/>
  <c r="AK66" i="40"/>
  <c r="AL66" i="40"/>
  <c r="D31" i="40" l="1"/>
  <c r="D30" i="40"/>
  <c r="D56" i="40"/>
  <c r="D66" i="40" s="1"/>
  <c r="AG47" i="40"/>
  <c r="AG56" i="40" s="1"/>
  <c r="AG66" i="40" s="1"/>
  <c r="AF47" i="40"/>
  <c r="AF56" i="40" s="1"/>
  <c r="AF66" i="40" s="1"/>
  <c r="AE47" i="40"/>
  <c r="AE56" i="40" s="1"/>
  <c r="AE66" i="40" s="1"/>
  <c r="AD47" i="40"/>
  <c r="AD56" i="40" s="1"/>
  <c r="AD66" i="40" s="1"/>
  <c r="AC47" i="40"/>
  <c r="AC56" i="40" s="1"/>
  <c r="AC66" i="40" s="1"/>
  <c r="AB47" i="40"/>
  <c r="AB56" i="40" s="1"/>
  <c r="AB66" i="40" s="1"/>
  <c r="AA47" i="40"/>
  <c r="AA56" i="40" s="1"/>
  <c r="AA66" i="40" s="1"/>
  <c r="Z47" i="40"/>
  <c r="Z56" i="40" s="1"/>
  <c r="Z66" i="40" s="1"/>
  <c r="Y47" i="40"/>
  <c r="Y56" i="40" s="1"/>
  <c r="Y66" i="40" s="1"/>
  <c r="X47" i="40"/>
  <c r="X56" i="40" s="1"/>
  <c r="X66" i="40" s="1"/>
  <c r="W47" i="40"/>
  <c r="W56" i="40" s="1"/>
  <c r="W66" i="40" s="1"/>
  <c r="V47" i="40"/>
  <c r="V56" i="40" s="1"/>
  <c r="V66" i="40" s="1"/>
  <c r="U47" i="40"/>
  <c r="U56" i="40" s="1"/>
  <c r="U66" i="40" s="1"/>
  <c r="T47" i="40"/>
  <c r="T56" i="40" s="1"/>
  <c r="T66" i="40" s="1"/>
  <c r="S47" i="40"/>
  <c r="S56" i="40" s="1"/>
  <c r="S66" i="40" s="1"/>
  <c r="R47" i="40"/>
  <c r="R56" i="40" s="1"/>
  <c r="R66" i="40" s="1"/>
  <c r="Q47" i="40"/>
  <c r="Q56" i="40" s="1"/>
  <c r="Q66" i="40" s="1"/>
  <c r="P47" i="40"/>
  <c r="P56" i="40" s="1"/>
  <c r="P66" i="40" s="1"/>
  <c r="O47" i="40"/>
  <c r="O56" i="40" s="1"/>
  <c r="O66" i="40" s="1"/>
  <c r="N47" i="40"/>
  <c r="N56" i="40" s="1"/>
  <c r="N66" i="40" s="1"/>
  <c r="M47" i="40"/>
  <c r="M56" i="40" s="1"/>
  <c r="M66" i="40" s="1"/>
  <c r="L47" i="40"/>
  <c r="L56" i="40" s="1"/>
  <c r="L66" i="40" s="1"/>
  <c r="K47" i="40"/>
  <c r="K56" i="40" s="1"/>
  <c r="K66" i="40" s="1"/>
  <c r="J47" i="40"/>
  <c r="J56" i="40" s="1"/>
  <c r="J66" i="40" s="1"/>
  <c r="I47" i="40"/>
  <c r="I56" i="40" s="1"/>
  <c r="I66" i="40" s="1"/>
  <c r="H47" i="40"/>
  <c r="H56" i="40" s="1"/>
  <c r="H66" i="40" s="1"/>
  <c r="G47" i="40"/>
  <c r="G56" i="40" s="1"/>
  <c r="G66" i="40" s="1"/>
  <c r="F47" i="40"/>
  <c r="F56" i="40" s="1"/>
  <c r="F66" i="40" s="1"/>
  <c r="E47" i="40"/>
  <c r="E56" i="40" s="1"/>
  <c r="E66" i="40" s="1"/>
  <c r="C7" i="40"/>
  <c r="E68" i="32"/>
  <c r="F68" i="32"/>
  <c r="G68" i="32"/>
  <c r="H68" i="32"/>
  <c r="I68" i="32"/>
  <c r="J68" i="32"/>
  <c r="K68" i="32"/>
  <c r="L68" i="32"/>
  <c r="M68" i="32"/>
  <c r="N68" i="32"/>
  <c r="O68" i="32"/>
  <c r="P68" i="32"/>
  <c r="Q68" i="32"/>
  <c r="R68" i="32"/>
  <c r="S68" i="32"/>
  <c r="T68" i="32"/>
  <c r="U68" i="32"/>
  <c r="V68" i="32"/>
  <c r="W68" i="32"/>
  <c r="X68" i="32"/>
  <c r="Y68" i="32"/>
  <c r="Z68" i="32"/>
  <c r="AA68" i="32"/>
  <c r="AB68" i="32"/>
  <c r="AC68" i="32"/>
  <c r="AD68" i="32"/>
  <c r="AE68" i="32"/>
  <c r="AF68" i="32"/>
  <c r="AG68" i="32"/>
  <c r="AH68" i="32"/>
  <c r="AI68" i="32"/>
  <c r="AJ68" i="32"/>
  <c r="AK68" i="32"/>
  <c r="AL68" i="32"/>
  <c r="D68" i="32"/>
  <c r="R3" i="7" l="1"/>
  <c r="S3" i="7"/>
  <c r="T3" i="7"/>
  <c r="U3" i="7"/>
  <c r="V3" i="7"/>
  <c r="W3" i="7"/>
  <c r="X3" i="7"/>
  <c r="Y3" i="7"/>
  <c r="Z3" i="7"/>
  <c r="AA3" i="7"/>
  <c r="AB3" i="7"/>
  <c r="AC3" i="7"/>
  <c r="AD3" i="7"/>
  <c r="AE3" i="7"/>
  <c r="AF3" i="7"/>
  <c r="AG3" i="7"/>
  <c r="AH3" i="7"/>
  <c r="AI3" i="7"/>
  <c r="AJ3" i="7"/>
  <c r="AK3" i="7"/>
  <c r="AL3" i="7"/>
  <c r="AM3" i="7"/>
  <c r="J3" i="7"/>
  <c r="K3" i="7"/>
  <c r="L3" i="7"/>
  <c r="M3" i="7"/>
  <c r="N3" i="7"/>
  <c r="O3" i="7"/>
  <c r="P3" i="7"/>
  <c r="Q3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AF4" i="7"/>
  <c r="AG4" i="7"/>
  <c r="AH4" i="7"/>
  <c r="AI4" i="7"/>
  <c r="AJ4" i="7"/>
  <c r="AK4" i="7"/>
  <c r="AL4" i="7"/>
  <c r="E4" i="7"/>
  <c r="H3" i="7"/>
  <c r="I3" i="7"/>
  <c r="E3" i="7"/>
  <c r="AJ55" i="10" l="1"/>
  <c r="AK55" i="10"/>
  <c r="AL55" i="10"/>
  <c r="AJ56" i="10"/>
  <c r="AK56" i="10"/>
  <c r="AL56" i="10"/>
  <c r="AL59" i="10" s="1"/>
  <c r="AJ57" i="10"/>
  <c r="AK57" i="10"/>
  <c r="AL57" i="10"/>
  <c r="AJ58" i="10"/>
  <c r="AK58" i="10"/>
  <c r="AL58" i="10"/>
  <c r="AJ62" i="10"/>
  <c r="AK62" i="10"/>
  <c r="AL62" i="10"/>
  <c r="AJ63" i="10"/>
  <c r="AK63" i="10"/>
  <c r="AL63" i="10"/>
  <c r="AJ64" i="10"/>
  <c r="AK64" i="10"/>
  <c r="AL64" i="10"/>
  <c r="AJ65" i="10"/>
  <c r="AK65" i="10"/>
  <c r="AL65" i="10"/>
  <c r="D55" i="10"/>
  <c r="E55" i="10"/>
  <c r="E56" i="10"/>
  <c r="D57" i="10"/>
  <c r="D59" i="10" s="1"/>
  <c r="E57" i="10"/>
  <c r="D58" i="10"/>
  <c r="E58" i="10"/>
  <c r="D62" i="10"/>
  <c r="E62" i="10"/>
  <c r="D63" i="10"/>
  <c r="E63" i="10"/>
  <c r="D64" i="10"/>
  <c r="E64" i="10"/>
  <c r="E66" i="10" s="1"/>
  <c r="D65" i="10"/>
  <c r="E65" i="10"/>
  <c r="AI65" i="10"/>
  <c r="AH65" i="10"/>
  <c r="AG65" i="10"/>
  <c r="AF65" i="10"/>
  <c r="AE65" i="10"/>
  <c r="AD65" i="10"/>
  <c r="AC65" i="10"/>
  <c r="AB65" i="10"/>
  <c r="AA65" i="10"/>
  <c r="Z65" i="10"/>
  <c r="Y65" i="10"/>
  <c r="X65" i="10"/>
  <c r="W65" i="10"/>
  <c r="V65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AI64" i="10"/>
  <c r="AH64" i="10"/>
  <c r="AG64" i="10"/>
  <c r="AF64" i="10"/>
  <c r="AE64" i="10"/>
  <c r="AD64" i="10"/>
  <c r="AC64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AI63" i="10"/>
  <c r="AH63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S66" i="10" s="1"/>
  <c r="R63" i="10"/>
  <c r="Q63" i="10"/>
  <c r="P63" i="10"/>
  <c r="O63" i="10"/>
  <c r="N63" i="10"/>
  <c r="M63" i="10"/>
  <c r="L63" i="10"/>
  <c r="L66" i="10" s="1"/>
  <c r="K63" i="10"/>
  <c r="J63" i="10"/>
  <c r="I63" i="10"/>
  <c r="H63" i="10"/>
  <c r="G63" i="10"/>
  <c r="F63" i="10"/>
  <c r="AI62" i="10"/>
  <c r="AH62" i="10"/>
  <c r="AG62" i="10"/>
  <c r="AF62" i="10"/>
  <c r="AE62" i="10"/>
  <c r="AD62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AI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AI56" i="10"/>
  <c r="AI59" i="10" s="1"/>
  <c r="AH56" i="10"/>
  <c r="AG56" i="10"/>
  <c r="AF56" i="10"/>
  <c r="AE56" i="10"/>
  <c r="AE59" i="10" s="1"/>
  <c r="AD56" i="10"/>
  <c r="AC56" i="10"/>
  <c r="AB56" i="10"/>
  <c r="AB59" i="10" s="1"/>
  <c r="AA56" i="10"/>
  <c r="AA59" i="10" s="1"/>
  <c r="Z56" i="10"/>
  <c r="Y56" i="10"/>
  <c r="X56" i="10"/>
  <c r="W56" i="10"/>
  <c r="W59" i="10" s="1"/>
  <c r="V56" i="10"/>
  <c r="U56" i="10"/>
  <c r="T56" i="10"/>
  <c r="T59" i="10" s="1"/>
  <c r="S56" i="10"/>
  <c r="S59" i="10" s="1"/>
  <c r="S68" i="10" s="1"/>
  <c r="R56" i="10"/>
  <c r="Q56" i="10"/>
  <c r="P56" i="10"/>
  <c r="O56" i="10"/>
  <c r="N56" i="10"/>
  <c r="M56" i="10"/>
  <c r="L56" i="10"/>
  <c r="L59" i="10" s="1"/>
  <c r="L68" i="10" s="1"/>
  <c r="K56" i="10"/>
  <c r="K59" i="10" s="1"/>
  <c r="J56" i="10"/>
  <c r="I56" i="10"/>
  <c r="H56" i="10"/>
  <c r="G56" i="10"/>
  <c r="F56" i="10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AI11" i="39"/>
  <c r="AJ11" i="39"/>
  <c r="AK11" i="39"/>
  <c r="AH11" i="39"/>
  <c r="X11" i="39"/>
  <c r="Y11" i="39"/>
  <c r="Z11" i="39"/>
  <c r="AA11" i="39"/>
  <c r="K66" i="10" l="1"/>
  <c r="D66" i="10"/>
  <c r="AI66" i="10"/>
  <c r="AI68" i="10" s="1"/>
  <c r="T66" i="10"/>
  <c r="T68" i="10" s="1"/>
  <c r="AB66" i="10"/>
  <c r="AB68" i="10" s="1"/>
  <c r="AA66" i="10"/>
  <c r="G59" i="10"/>
  <c r="O59" i="10"/>
  <c r="U66" i="10"/>
  <c r="AC66" i="10"/>
  <c r="F66" i="10"/>
  <c r="G66" i="10"/>
  <c r="AJ66" i="10"/>
  <c r="I59" i="10"/>
  <c r="N66" i="10"/>
  <c r="O66" i="10"/>
  <c r="W66" i="10"/>
  <c r="AE66" i="10"/>
  <c r="E59" i="10"/>
  <c r="AK59" i="10"/>
  <c r="AK68" i="10" s="1"/>
  <c r="N59" i="10"/>
  <c r="N68" i="10" s="1"/>
  <c r="H59" i="10"/>
  <c r="X59" i="10"/>
  <c r="AF59" i="10"/>
  <c r="H66" i="10"/>
  <c r="P66" i="10"/>
  <c r="X66" i="10"/>
  <c r="AF66" i="10"/>
  <c r="J66" i="10"/>
  <c r="R66" i="10"/>
  <c r="Z66" i="10"/>
  <c r="AH66" i="10"/>
  <c r="AJ59" i="10"/>
  <c r="V59" i="10"/>
  <c r="I68" i="10"/>
  <c r="Q59" i="10"/>
  <c r="Q68" i="10" s="1"/>
  <c r="Y59" i="10"/>
  <c r="Y68" i="10" s="1"/>
  <c r="AG59" i="10"/>
  <c r="I66" i="10"/>
  <c r="Q66" i="10"/>
  <c r="Y66" i="10"/>
  <c r="AG66" i="10"/>
  <c r="AL66" i="10"/>
  <c r="AL68" i="10" s="1"/>
  <c r="AD66" i="10"/>
  <c r="J59" i="10"/>
  <c r="J68" i="10" s="1"/>
  <c r="R59" i="10"/>
  <c r="R68" i="10" s="1"/>
  <c r="Z59" i="10"/>
  <c r="Z68" i="10" s="1"/>
  <c r="AH59" i="10"/>
  <c r="AH68" i="10" s="1"/>
  <c r="AK66" i="10"/>
  <c r="AD59" i="10"/>
  <c r="V66" i="10"/>
  <c r="P59" i="10"/>
  <c r="P68" i="10" s="1"/>
  <c r="M59" i="10"/>
  <c r="U59" i="10"/>
  <c r="AC59" i="10"/>
  <c r="O68" i="10"/>
  <c r="W68" i="10"/>
  <c r="AA68" i="10"/>
  <c r="AE68" i="10"/>
  <c r="G68" i="10"/>
  <c r="K68" i="10"/>
  <c r="F59" i="10"/>
  <c r="M66" i="10"/>
  <c r="B7" i="39"/>
  <c r="B11" i="39"/>
  <c r="AJ68" i="10" l="1"/>
  <c r="AC68" i="10"/>
  <c r="U68" i="10"/>
  <c r="AG68" i="10"/>
  <c r="H68" i="10"/>
  <c r="AD68" i="10"/>
  <c r="V68" i="10"/>
  <c r="AF68" i="10"/>
  <c r="X68" i="10"/>
  <c r="M68" i="10"/>
  <c r="F68" i="10"/>
  <c r="F8" i="39"/>
  <c r="G8" i="39"/>
  <c r="H8" i="39"/>
  <c r="I8" i="39"/>
  <c r="C86" i="37"/>
  <c r="D86" i="37" s="1"/>
  <c r="E86" i="37" s="1"/>
  <c r="F86" i="37" s="1"/>
  <c r="G86" i="37" s="1"/>
  <c r="H86" i="37" s="1"/>
  <c r="I86" i="37" s="1"/>
  <c r="J86" i="37" s="1"/>
  <c r="K86" i="37" s="1"/>
  <c r="L86" i="37" s="1"/>
  <c r="M86" i="37" s="1"/>
  <c r="N86" i="37" s="1"/>
  <c r="O86" i="37" s="1"/>
  <c r="P86" i="37" s="1"/>
  <c r="Q86" i="37" s="1"/>
  <c r="R86" i="37" s="1"/>
  <c r="S86" i="37" s="1"/>
  <c r="T86" i="37" s="1"/>
  <c r="U86" i="37" s="1"/>
  <c r="V86" i="37" s="1"/>
  <c r="W86" i="37" s="1"/>
  <c r="X86" i="37" s="1"/>
  <c r="Y86" i="37" s="1"/>
  <c r="Z86" i="37" s="1"/>
  <c r="AA86" i="37" s="1"/>
  <c r="AB86" i="37" s="1"/>
  <c r="AC86" i="37" s="1"/>
  <c r="AD86" i="37" s="1"/>
  <c r="AE86" i="37" s="1"/>
  <c r="AF86" i="37" s="1"/>
  <c r="AG86" i="37" s="1"/>
  <c r="AH86" i="37" s="1"/>
  <c r="AI86" i="37" s="1"/>
  <c r="AJ86" i="37" s="1"/>
  <c r="AK86" i="37" s="1"/>
  <c r="AL86" i="37" s="1"/>
  <c r="AM86" i="37" s="1"/>
  <c r="E68" i="10" l="1"/>
  <c r="D68" i="10" s="1"/>
  <c r="C14" i="4"/>
  <c r="C22" i="4"/>
  <c r="C6" i="4"/>
  <c r="C41" i="3"/>
  <c r="C42" i="3"/>
  <c r="C30" i="3"/>
  <c r="C31" i="3"/>
  <c r="C19" i="3"/>
  <c r="C8" i="3"/>
  <c r="C53" i="6" l="1"/>
  <c r="C57" i="6"/>
  <c r="C37" i="6"/>
  <c r="C41" i="6"/>
  <c r="C20" i="6"/>
  <c r="G154" i="38" l="1"/>
  <c r="G143" i="38"/>
  <c r="G131" i="38"/>
  <c r="G120" i="38"/>
  <c r="G98" i="38"/>
  <c r="G5" i="38"/>
  <c r="G69" i="37" l="1"/>
  <c r="D72" i="37"/>
  <c r="B5" i="37" s="1"/>
  <c r="C66" i="37"/>
  <c r="H66" i="37" s="1"/>
  <c r="C67" i="37"/>
  <c r="C68" i="37"/>
  <c r="C69" i="37"/>
  <c r="H69" i="37" s="1"/>
  <c r="C70" i="37"/>
  <c r="C71" i="37"/>
  <c r="C65" i="37"/>
  <c r="H65" i="37" s="1"/>
  <c r="G65" i="37" l="1"/>
  <c r="G68" i="37"/>
  <c r="H70" i="37"/>
  <c r="G70" i="37"/>
  <c r="G71" i="37"/>
  <c r="AG23" i="37"/>
  <c r="AG43" i="37" s="1"/>
  <c r="AH23" i="37"/>
  <c r="AH43" i="37" s="1"/>
  <c r="AI23" i="37"/>
  <c r="AI43" i="37" s="1"/>
  <c r="AJ23" i="37"/>
  <c r="AJ43" i="37" s="1"/>
  <c r="AK23" i="37"/>
  <c r="AK43" i="37" s="1"/>
  <c r="AG28" i="37"/>
  <c r="AG29" i="37" s="1"/>
  <c r="AH28" i="37"/>
  <c r="AH29" i="37" s="1"/>
  <c r="AI28" i="37"/>
  <c r="AI29" i="37" s="1"/>
  <c r="AJ28" i="37"/>
  <c r="AJ29" i="37" s="1"/>
  <c r="AK28" i="37"/>
  <c r="AK29" i="37" s="1"/>
  <c r="F65" i="37" l="1"/>
  <c r="H68" i="37"/>
  <c r="F68" i="37"/>
  <c r="H71" i="37"/>
  <c r="F71" i="37"/>
  <c r="F70" i="37"/>
  <c r="C17" i="37" l="1"/>
  <c r="G95" i="38"/>
  <c r="F79" i="37"/>
  <c r="E79" i="37" s="1"/>
  <c r="D79" i="37" l="1"/>
  <c r="C18" i="37"/>
  <c r="D17" i="37"/>
  <c r="AH8" i="39"/>
  <c r="AI8" i="39"/>
  <c r="AJ8" i="39"/>
  <c r="AK8" i="39"/>
  <c r="AH12" i="39"/>
  <c r="AI12" i="39"/>
  <c r="AJ12" i="39"/>
  <c r="AK12" i="39"/>
  <c r="E17" i="37" l="1"/>
  <c r="F17" i="37" l="1"/>
  <c r="C95" i="37"/>
  <c r="D95" i="37" s="1"/>
  <c r="E78" i="37"/>
  <c r="B4" i="37"/>
  <c r="C35" i="38"/>
  <c r="C28" i="38"/>
  <c r="C29" i="38"/>
  <c r="C30" i="38"/>
  <c r="C31" i="38"/>
  <c r="C32" i="38"/>
  <c r="C33" i="38"/>
  <c r="C27" i="38"/>
  <c r="B35" i="38"/>
  <c r="B28" i="38"/>
  <c r="B29" i="38"/>
  <c r="B30" i="38"/>
  <c r="B31" i="38"/>
  <c r="B32" i="38"/>
  <c r="B33" i="38"/>
  <c r="B27" i="38"/>
  <c r="I6" i="3"/>
  <c r="J6" i="3"/>
  <c r="K6" i="3"/>
  <c r="L6" i="3"/>
  <c r="M6" i="3"/>
  <c r="N6" i="3"/>
  <c r="O6" i="3"/>
  <c r="P6" i="3"/>
  <c r="Q6" i="3"/>
  <c r="R6" i="3"/>
  <c r="W6" i="3"/>
  <c r="X6" i="3"/>
  <c r="Y6" i="3"/>
  <c r="Z6" i="3"/>
  <c r="AA6" i="3"/>
  <c r="AB6" i="3"/>
  <c r="AC6" i="3"/>
  <c r="AD6" i="3"/>
  <c r="AE6" i="3"/>
  <c r="AF6" i="3"/>
  <c r="AG6" i="3"/>
  <c r="AI6" i="3"/>
  <c r="AJ6" i="3"/>
  <c r="AK6" i="3"/>
  <c r="AL6" i="3"/>
  <c r="AI93" i="38"/>
  <c r="AJ93" i="38"/>
  <c r="AK93" i="38"/>
  <c r="AL93" i="38"/>
  <c r="AM93" i="38"/>
  <c r="AI97" i="38"/>
  <c r="AJ97" i="38"/>
  <c r="AK97" i="38"/>
  <c r="AL97" i="38"/>
  <c r="AM97" i="38"/>
  <c r="AI104" i="38"/>
  <c r="AJ104" i="38"/>
  <c r="AK104" i="38"/>
  <c r="AL104" i="38"/>
  <c r="AM104" i="38"/>
  <c r="AI108" i="38"/>
  <c r="AJ108" i="38"/>
  <c r="AK108" i="38"/>
  <c r="AL108" i="38"/>
  <c r="AM108" i="38"/>
  <c r="AI115" i="38"/>
  <c r="AJ115" i="38"/>
  <c r="AK115" i="38"/>
  <c r="AL115" i="38"/>
  <c r="AM115" i="38"/>
  <c r="AI119" i="38"/>
  <c r="AJ119" i="38"/>
  <c r="AK119" i="38"/>
  <c r="AL119" i="38"/>
  <c r="AM119" i="38"/>
  <c r="AI126" i="38"/>
  <c r="AJ126" i="38"/>
  <c r="AK126" i="38"/>
  <c r="AL126" i="38"/>
  <c r="AM126" i="38"/>
  <c r="AI130" i="38"/>
  <c r="AJ130" i="38"/>
  <c r="AK130" i="38"/>
  <c r="AL130" i="38"/>
  <c r="AM130" i="38"/>
  <c r="AI138" i="38"/>
  <c r="AJ138" i="38"/>
  <c r="AK138" i="38"/>
  <c r="AL138" i="38"/>
  <c r="AM138" i="38"/>
  <c r="AI142" i="38"/>
  <c r="AJ142" i="38"/>
  <c r="AK142" i="38"/>
  <c r="AL142" i="38"/>
  <c r="AM142" i="38"/>
  <c r="AI149" i="38"/>
  <c r="AJ149" i="38"/>
  <c r="AK149" i="38"/>
  <c r="AL149" i="38"/>
  <c r="AM149" i="38"/>
  <c r="AI153" i="38"/>
  <c r="AJ153" i="38"/>
  <c r="AK153" i="38"/>
  <c r="AL153" i="38"/>
  <c r="AM153" i="38"/>
  <c r="AI161" i="38"/>
  <c r="AJ161" i="38"/>
  <c r="AK161" i="38"/>
  <c r="AL161" i="38"/>
  <c r="AM161" i="38"/>
  <c r="AI165" i="38"/>
  <c r="AJ165" i="38"/>
  <c r="AK165" i="38"/>
  <c r="AL165" i="38"/>
  <c r="AM165" i="38"/>
  <c r="AI173" i="38"/>
  <c r="AJ173" i="38"/>
  <c r="AK173" i="38"/>
  <c r="AL173" i="38"/>
  <c r="AM173" i="38"/>
  <c r="AI177" i="38"/>
  <c r="AJ177" i="38"/>
  <c r="AK177" i="38"/>
  <c r="AL177" i="38"/>
  <c r="AM177" i="38"/>
  <c r="AH17" i="3"/>
  <c r="AI17" i="3"/>
  <c r="AJ17" i="3"/>
  <c r="AK17" i="3"/>
  <c r="AL17" i="3"/>
  <c r="C193" i="38"/>
  <c r="C197" i="38" s="1"/>
  <c r="D193" i="38"/>
  <c r="D6" i="3"/>
  <c r="C195" i="38"/>
  <c r="D195" i="38"/>
  <c r="D17" i="3"/>
  <c r="E17" i="3"/>
  <c r="F17" i="3"/>
  <c r="G17" i="3"/>
  <c r="H17" i="3"/>
  <c r="I17" i="3"/>
  <c r="K17" i="3"/>
  <c r="L17" i="3"/>
  <c r="N17" i="3"/>
  <c r="O17" i="3"/>
  <c r="P17" i="3"/>
  <c r="Q17" i="3"/>
  <c r="S17" i="3"/>
  <c r="T17" i="3"/>
  <c r="U17" i="3"/>
  <c r="V17" i="3"/>
  <c r="W17" i="3"/>
  <c r="X17" i="3"/>
  <c r="Y17" i="3"/>
  <c r="AB17" i="3"/>
  <c r="AD17" i="3"/>
  <c r="AE17" i="3"/>
  <c r="AF17" i="3"/>
  <c r="AG17" i="3"/>
  <c r="D197" i="38"/>
  <c r="E197" i="38"/>
  <c r="D177" i="38"/>
  <c r="E177" i="38"/>
  <c r="F177" i="38"/>
  <c r="G177" i="38"/>
  <c r="H177" i="38"/>
  <c r="I177" i="38"/>
  <c r="J177" i="38"/>
  <c r="K177" i="38"/>
  <c r="L177" i="38"/>
  <c r="M177" i="38"/>
  <c r="N177" i="38"/>
  <c r="O177" i="38"/>
  <c r="P177" i="38"/>
  <c r="Q177" i="38"/>
  <c r="R177" i="38"/>
  <c r="S177" i="38"/>
  <c r="T177" i="38"/>
  <c r="U177" i="38"/>
  <c r="V177" i="38"/>
  <c r="W177" i="38"/>
  <c r="X177" i="38"/>
  <c r="Y177" i="38"/>
  <c r="Z177" i="38"/>
  <c r="AA177" i="38"/>
  <c r="AB177" i="38"/>
  <c r="AC177" i="38"/>
  <c r="AD177" i="38"/>
  <c r="AE177" i="38"/>
  <c r="AF177" i="38"/>
  <c r="AG177" i="38"/>
  <c r="AH177" i="38"/>
  <c r="C177" i="38"/>
  <c r="D173" i="38"/>
  <c r="E173" i="38"/>
  <c r="F173" i="38"/>
  <c r="G173" i="38"/>
  <c r="H173" i="38"/>
  <c r="I173" i="38"/>
  <c r="J173" i="38"/>
  <c r="K173" i="38"/>
  <c r="L173" i="38"/>
  <c r="M173" i="38"/>
  <c r="N173" i="38"/>
  <c r="O173" i="38"/>
  <c r="P173" i="38"/>
  <c r="Q173" i="38"/>
  <c r="R173" i="38"/>
  <c r="S173" i="38"/>
  <c r="T173" i="38"/>
  <c r="U173" i="38"/>
  <c r="V173" i="38"/>
  <c r="W173" i="38"/>
  <c r="X173" i="38"/>
  <c r="Y173" i="38"/>
  <c r="Z173" i="38"/>
  <c r="AA173" i="38"/>
  <c r="AB173" i="38"/>
  <c r="AC173" i="38"/>
  <c r="AD173" i="38"/>
  <c r="AE173" i="38"/>
  <c r="AF173" i="38"/>
  <c r="AG173" i="38"/>
  <c r="AH173" i="38"/>
  <c r="C173" i="38"/>
  <c r="D165" i="38"/>
  <c r="E165" i="38"/>
  <c r="F165" i="38"/>
  <c r="G165" i="38"/>
  <c r="H165" i="38"/>
  <c r="I165" i="38"/>
  <c r="J165" i="38"/>
  <c r="K165" i="38"/>
  <c r="L165" i="38"/>
  <c r="M165" i="38"/>
  <c r="N165" i="38"/>
  <c r="O165" i="38"/>
  <c r="P165" i="38"/>
  <c r="Q165" i="38"/>
  <c r="R165" i="38"/>
  <c r="S165" i="38"/>
  <c r="T165" i="38"/>
  <c r="U165" i="38"/>
  <c r="V165" i="38"/>
  <c r="W165" i="38"/>
  <c r="X165" i="38"/>
  <c r="Y165" i="38"/>
  <c r="Z165" i="38"/>
  <c r="AA165" i="38"/>
  <c r="AB165" i="38"/>
  <c r="AC165" i="38"/>
  <c r="AD165" i="38"/>
  <c r="AE165" i="38"/>
  <c r="AF165" i="38"/>
  <c r="AG165" i="38"/>
  <c r="AH165" i="38"/>
  <c r="C165" i="38"/>
  <c r="D161" i="38"/>
  <c r="E161" i="38"/>
  <c r="F161" i="38"/>
  <c r="G161" i="38"/>
  <c r="H161" i="38"/>
  <c r="I161" i="38"/>
  <c r="J161" i="38"/>
  <c r="K161" i="38"/>
  <c r="L161" i="38"/>
  <c r="M161" i="38"/>
  <c r="N161" i="38"/>
  <c r="O161" i="38"/>
  <c r="P161" i="38"/>
  <c r="Q161" i="38"/>
  <c r="R161" i="38"/>
  <c r="S161" i="38"/>
  <c r="T161" i="38"/>
  <c r="U161" i="38"/>
  <c r="V161" i="38"/>
  <c r="W161" i="38"/>
  <c r="X161" i="38"/>
  <c r="Y161" i="38"/>
  <c r="Z161" i="38"/>
  <c r="AA161" i="38"/>
  <c r="AB161" i="38"/>
  <c r="AC161" i="38"/>
  <c r="AD161" i="38"/>
  <c r="AE161" i="38"/>
  <c r="AF161" i="38"/>
  <c r="AG161" i="38"/>
  <c r="AH161" i="38"/>
  <c r="C161" i="38"/>
  <c r="D153" i="38"/>
  <c r="E153" i="38"/>
  <c r="F153" i="38"/>
  <c r="G153" i="38"/>
  <c r="H153" i="38"/>
  <c r="I153" i="38"/>
  <c r="J153" i="38"/>
  <c r="K153" i="38"/>
  <c r="L153" i="38"/>
  <c r="M153" i="38"/>
  <c r="N153" i="38"/>
  <c r="O153" i="38"/>
  <c r="P153" i="38"/>
  <c r="Q153" i="38"/>
  <c r="R153" i="38"/>
  <c r="S153" i="38"/>
  <c r="T153" i="38"/>
  <c r="U153" i="38"/>
  <c r="V153" i="38"/>
  <c r="W153" i="38"/>
  <c r="X153" i="38"/>
  <c r="Y153" i="38"/>
  <c r="Z153" i="38"/>
  <c r="AA153" i="38"/>
  <c r="AB153" i="38"/>
  <c r="AC153" i="38"/>
  <c r="AD153" i="38"/>
  <c r="AE153" i="38"/>
  <c r="AF153" i="38"/>
  <c r="AG153" i="38"/>
  <c r="AH153" i="38"/>
  <c r="C153" i="38"/>
  <c r="D149" i="38"/>
  <c r="E149" i="38"/>
  <c r="F149" i="38"/>
  <c r="G149" i="38"/>
  <c r="H149" i="38"/>
  <c r="I149" i="38"/>
  <c r="J149" i="38"/>
  <c r="K149" i="38"/>
  <c r="L149" i="38"/>
  <c r="M149" i="38"/>
  <c r="N149" i="38"/>
  <c r="O149" i="38"/>
  <c r="P149" i="38"/>
  <c r="Q149" i="38"/>
  <c r="R149" i="38"/>
  <c r="S149" i="38"/>
  <c r="T149" i="38"/>
  <c r="U149" i="38"/>
  <c r="V149" i="38"/>
  <c r="W149" i="38"/>
  <c r="X149" i="38"/>
  <c r="Y149" i="38"/>
  <c r="Z149" i="38"/>
  <c r="AA149" i="38"/>
  <c r="AB149" i="38"/>
  <c r="AC149" i="38"/>
  <c r="AD149" i="38"/>
  <c r="AE149" i="38"/>
  <c r="AF149" i="38"/>
  <c r="AG149" i="38"/>
  <c r="AH149" i="38"/>
  <c r="C149" i="38"/>
  <c r="D142" i="38"/>
  <c r="E142" i="38"/>
  <c r="F142" i="38"/>
  <c r="G142" i="38"/>
  <c r="H142" i="38"/>
  <c r="I142" i="38"/>
  <c r="J142" i="38"/>
  <c r="K142" i="38"/>
  <c r="L142" i="38"/>
  <c r="M142" i="38"/>
  <c r="N142" i="38"/>
  <c r="O142" i="38"/>
  <c r="P142" i="38"/>
  <c r="Q142" i="38"/>
  <c r="R142" i="38"/>
  <c r="S142" i="38"/>
  <c r="T142" i="38"/>
  <c r="U142" i="38"/>
  <c r="V142" i="38"/>
  <c r="W142" i="38"/>
  <c r="X142" i="38"/>
  <c r="Y142" i="38"/>
  <c r="Z142" i="38"/>
  <c r="AA142" i="38"/>
  <c r="AB142" i="38"/>
  <c r="AC142" i="38"/>
  <c r="AD142" i="38"/>
  <c r="AE142" i="38"/>
  <c r="AF142" i="38"/>
  <c r="AG142" i="38"/>
  <c r="AH142" i="38"/>
  <c r="C142" i="38"/>
  <c r="D138" i="38"/>
  <c r="E138" i="38"/>
  <c r="F138" i="38"/>
  <c r="G138" i="38"/>
  <c r="H138" i="38"/>
  <c r="I138" i="38"/>
  <c r="J138" i="38"/>
  <c r="K138" i="38"/>
  <c r="L138" i="38"/>
  <c r="M138" i="38"/>
  <c r="N138" i="38"/>
  <c r="O138" i="38"/>
  <c r="P138" i="38"/>
  <c r="Q138" i="38"/>
  <c r="R138" i="38"/>
  <c r="S138" i="38"/>
  <c r="T138" i="38"/>
  <c r="U138" i="38"/>
  <c r="V138" i="38"/>
  <c r="W138" i="38"/>
  <c r="X138" i="38"/>
  <c r="Y138" i="38"/>
  <c r="Z138" i="38"/>
  <c r="AA138" i="38"/>
  <c r="AB138" i="38"/>
  <c r="AC138" i="38"/>
  <c r="AD138" i="38"/>
  <c r="AE138" i="38"/>
  <c r="AF138" i="38"/>
  <c r="AG138" i="38"/>
  <c r="AH138" i="38"/>
  <c r="C138" i="38"/>
  <c r="D130" i="38"/>
  <c r="E130" i="38"/>
  <c r="F130" i="38"/>
  <c r="G130" i="38"/>
  <c r="H130" i="38"/>
  <c r="I130" i="38"/>
  <c r="J130" i="38"/>
  <c r="K130" i="38"/>
  <c r="L130" i="38"/>
  <c r="M130" i="38"/>
  <c r="N130" i="38"/>
  <c r="O130" i="38"/>
  <c r="P130" i="38"/>
  <c r="Q130" i="38"/>
  <c r="R130" i="38"/>
  <c r="S130" i="38"/>
  <c r="T130" i="38"/>
  <c r="U130" i="38"/>
  <c r="V130" i="38"/>
  <c r="W130" i="38"/>
  <c r="X130" i="38"/>
  <c r="Y130" i="38"/>
  <c r="Z130" i="38"/>
  <c r="AA130" i="38"/>
  <c r="AB130" i="38"/>
  <c r="AC130" i="38"/>
  <c r="AD130" i="38"/>
  <c r="AE130" i="38"/>
  <c r="AF130" i="38"/>
  <c r="AG130" i="38"/>
  <c r="AH130" i="38"/>
  <c r="C130" i="38"/>
  <c r="D126" i="38"/>
  <c r="E126" i="38"/>
  <c r="F126" i="38"/>
  <c r="G126" i="38"/>
  <c r="H126" i="38"/>
  <c r="I126" i="38"/>
  <c r="J126" i="38"/>
  <c r="K126" i="38"/>
  <c r="L126" i="38"/>
  <c r="M126" i="38"/>
  <c r="N126" i="38"/>
  <c r="O126" i="38"/>
  <c r="P126" i="38"/>
  <c r="Q126" i="38"/>
  <c r="R126" i="38"/>
  <c r="S126" i="38"/>
  <c r="T126" i="38"/>
  <c r="U126" i="38"/>
  <c r="V126" i="38"/>
  <c r="W126" i="38"/>
  <c r="X126" i="38"/>
  <c r="Y126" i="38"/>
  <c r="Z126" i="38"/>
  <c r="AA126" i="38"/>
  <c r="AB126" i="38"/>
  <c r="AC126" i="38"/>
  <c r="AD126" i="38"/>
  <c r="AE126" i="38"/>
  <c r="AF126" i="38"/>
  <c r="AG126" i="38"/>
  <c r="AH126" i="38"/>
  <c r="C126" i="38"/>
  <c r="C108" i="38"/>
  <c r="C104" i="38"/>
  <c r="D97" i="38"/>
  <c r="E97" i="38"/>
  <c r="F97" i="38"/>
  <c r="G97" i="38"/>
  <c r="H97" i="38"/>
  <c r="I97" i="38"/>
  <c r="J97" i="38"/>
  <c r="K97" i="38"/>
  <c r="L97" i="38"/>
  <c r="M97" i="38"/>
  <c r="N97" i="38"/>
  <c r="O97" i="38"/>
  <c r="P97" i="38"/>
  <c r="Q97" i="38"/>
  <c r="R97" i="38"/>
  <c r="S97" i="38"/>
  <c r="T97" i="38"/>
  <c r="U97" i="38"/>
  <c r="V97" i="38"/>
  <c r="W97" i="38"/>
  <c r="X97" i="38"/>
  <c r="Y97" i="38"/>
  <c r="Z97" i="38"/>
  <c r="AA97" i="38"/>
  <c r="AB97" i="38"/>
  <c r="AC97" i="38"/>
  <c r="AD97" i="38"/>
  <c r="AE97" i="38"/>
  <c r="AF97" i="38"/>
  <c r="AG97" i="38"/>
  <c r="AH97" i="38"/>
  <c r="C97" i="38"/>
  <c r="C93" i="38"/>
  <c r="G18" i="9"/>
  <c r="G16" i="9"/>
  <c r="A127" i="38"/>
  <c r="A116" i="38"/>
  <c r="A105" i="38"/>
  <c r="A94" i="38"/>
  <c r="A33" i="38"/>
  <c r="A48" i="38" s="1"/>
  <c r="D27" i="38"/>
  <c r="C94" i="38" s="1"/>
  <c r="D28" i="38"/>
  <c r="C105" i="38" s="1"/>
  <c r="D29" i="38"/>
  <c r="C116" i="38" s="1"/>
  <c r="D30" i="38"/>
  <c r="C127" i="38" s="1"/>
  <c r="D31" i="38"/>
  <c r="C139" i="38" s="1"/>
  <c r="D32" i="38"/>
  <c r="C150" i="38" s="1"/>
  <c r="D33" i="38"/>
  <c r="C160" i="38" s="1"/>
  <c r="D35" i="38"/>
  <c r="C172" i="38" s="1"/>
  <c r="C176" i="38" s="1"/>
  <c r="C17" i="38"/>
  <c r="C19" i="38" s="1"/>
  <c r="D17" i="38"/>
  <c r="D19" i="38" s="1"/>
  <c r="J19" i="2"/>
  <c r="I19" i="2"/>
  <c r="H19" i="2"/>
  <c r="G19" i="2"/>
  <c r="D19" i="2"/>
  <c r="D16" i="2"/>
  <c r="J16" i="2"/>
  <c r="I16" i="2"/>
  <c r="H16" i="2"/>
  <c r="G16" i="2"/>
  <c r="D67" i="2"/>
  <c r="F67" i="2"/>
  <c r="AG12" i="39"/>
  <c r="AF12" i="39"/>
  <c r="AE12" i="39"/>
  <c r="AD12" i="39"/>
  <c r="AC12" i="39"/>
  <c r="AB12" i="39"/>
  <c r="AA12" i="39"/>
  <c r="Z12" i="39"/>
  <c r="Y12" i="39"/>
  <c r="X12" i="39"/>
  <c r="W12" i="39"/>
  <c r="T12" i="39"/>
  <c r="S12" i="39"/>
  <c r="R12" i="39"/>
  <c r="Q12" i="39"/>
  <c r="P12" i="39"/>
  <c r="O12" i="39"/>
  <c r="N12" i="39"/>
  <c r="M12" i="39"/>
  <c r="L12" i="39"/>
  <c r="K12" i="39"/>
  <c r="J12" i="39"/>
  <c r="I12" i="39"/>
  <c r="H12" i="39"/>
  <c r="G12" i="39"/>
  <c r="F12" i="39"/>
  <c r="E12" i="39"/>
  <c r="D12" i="39"/>
  <c r="C12" i="39"/>
  <c r="V12" i="39"/>
  <c r="U12" i="39"/>
  <c r="AG8" i="39"/>
  <c r="AF8" i="39"/>
  <c r="AE8" i="39"/>
  <c r="AD8" i="39"/>
  <c r="AC8" i="39"/>
  <c r="AB8" i="39"/>
  <c r="AA8" i="39"/>
  <c r="Z8" i="39"/>
  <c r="Y8" i="39"/>
  <c r="X8" i="39"/>
  <c r="S8" i="39"/>
  <c r="R8" i="39"/>
  <c r="Q8" i="39"/>
  <c r="P8" i="39"/>
  <c r="O8" i="39"/>
  <c r="N8" i="39"/>
  <c r="M8" i="39"/>
  <c r="L8" i="39"/>
  <c r="K8" i="39"/>
  <c r="J8" i="39"/>
  <c r="E8" i="39"/>
  <c r="D8" i="39"/>
  <c r="C8" i="39"/>
  <c r="W8" i="39"/>
  <c r="V8" i="39"/>
  <c r="T6" i="3"/>
  <c r="S6" i="3"/>
  <c r="AH119" i="38"/>
  <c r="AG119" i="38"/>
  <c r="AF119" i="38"/>
  <c r="AE119" i="38"/>
  <c r="AD119" i="38"/>
  <c r="AC119" i="38"/>
  <c r="AB119" i="38"/>
  <c r="AA119" i="38"/>
  <c r="Z119" i="38"/>
  <c r="Y119" i="38"/>
  <c r="X119" i="38"/>
  <c r="W119" i="38"/>
  <c r="V119" i="38"/>
  <c r="U119" i="38"/>
  <c r="T119" i="38"/>
  <c r="S119" i="38"/>
  <c r="R119" i="38"/>
  <c r="Q119" i="38"/>
  <c r="P119" i="38"/>
  <c r="O119" i="38"/>
  <c r="N119" i="38"/>
  <c r="M119" i="38"/>
  <c r="L119" i="38"/>
  <c r="K119" i="38"/>
  <c r="J119" i="38"/>
  <c r="I119" i="38"/>
  <c r="H119" i="38"/>
  <c r="G119" i="38"/>
  <c r="F119" i="38"/>
  <c r="E119" i="38"/>
  <c r="D119" i="38"/>
  <c r="C119" i="38"/>
  <c r="AH115" i="38"/>
  <c r="AG115" i="38"/>
  <c r="AF115" i="38"/>
  <c r="AE115" i="38"/>
  <c r="AD115" i="38"/>
  <c r="AC115" i="38"/>
  <c r="AB115" i="38"/>
  <c r="AA115" i="38"/>
  <c r="Z115" i="38"/>
  <c r="Y115" i="38"/>
  <c r="X115" i="38"/>
  <c r="W115" i="38"/>
  <c r="V115" i="38"/>
  <c r="U115" i="38"/>
  <c r="T115" i="38"/>
  <c r="S115" i="38"/>
  <c r="R115" i="38"/>
  <c r="Q115" i="38"/>
  <c r="P115" i="38"/>
  <c r="O115" i="38"/>
  <c r="N115" i="38"/>
  <c r="M115" i="38"/>
  <c r="L115" i="38"/>
  <c r="K115" i="38"/>
  <c r="J115" i="38"/>
  <c r="I115" i="38"/>
  <c r="H115" i="38"/>
  <c r="G115" i="38"/>
  <c r="F115" i="38"/>
  <c r="E115" i="38"/>
  <c r="D115" i="38"/>
  <c r="C115" i="38"/>
  <c r="AH108" i="38"/>
  <c r="AG108" i="38"/>
  <c r="AF108" i="38"/>
  <c r="AE108" i="38"/>
  <c r="AD108" i="38"/>
  <c r="AC108" i="38"/>
  <c r="AB108" i="38"/>
  <c r="AA108" i="38"/>
  <c r="Z108" i="38"/>
  <c r="Y108" i="38"/>
  <c r="X108" i="38"/>
  <c r="W108" i="38"/>
  <c r="V108" i="38"/>
  <c r="U108" i="38"/>
  <c r="T108" i="38"/>
  <c r="S108" i="38"/>
  <c r="R108" i="38"/>
  <c r="Q108" i="38"/>
  <c r="P108" i="38"/>
  <c r="O108" i="38"/>
  <c r="N108" i="38"/>
  <c r="M108" i="38"/>
  <c r="L108" i="38"/>
  <c r="K108" i="38"/>
  <c r="J108" i="38"/>
  <c r="I108" i="38"/>
  <c r="H108" i="38"/>
  <c r="G108" i="38"/>
  <c r="F108" i="38"/>
  <c r="E108" i="38"/>
  <c r="D108" i="38"/>
  <c r="AH104" i="38"/>
  <c r="AG104" i="38"/>
  <c r="AF104" i="38"/>
  <c r="AE104" i="38"/>
  <c r="AD104" i="38"/>
  <c r="AC104" i="38"/>
  <c r="AB104" i="38"/>
  <c r="AA104" i="38"/>
  <c r="Z104" i="38"/>
  <c r="Y104" i="38"/>
  <c r="X104" i="38"/>
  <c r="W104" i="38"/>
  <c r="V104" i="38"/>
  <c r="U104" i="38"/>
  <c r="T104" i="38"/>
  <c r="S104" i="38"/>
  <c r="R104" i="38"/>
  <c r="Q104" i="38"/>
  <c r="P104" i="38"/>
  <c r="O104" i="38"/>
  <c r="N104" i="38"/>
  <c r="M104" i="38"/>
  <c r="L104" i="38"/>
  <c r="K104" i="38"/>
  <c r="J104" i="38"/>
  <c r="I104" i="38"/>
  <c r="H104" i="38"/>
  <c r="G104" i="38"/>
  <c r="F104" i="38"/>
  <c r="E104" i="38"/>
  <c r="D104" i="38"/>
  <c r="AH93" i="38"/>
  <c r="AG93" i="38"/>
  <c r="AF93" i="38"/>
  <c r="AE93" i="38"/>
  <c r="AD93" i="38"/>
  <c r="AC93" i="38"/>
  <c r="AB93" i="38"/>
  <c r="AA93" i="38"/>
  <c r="Z93" i="38"/>
  <c r="Y93" i="38"/>
  <c r="X93" i="38"/>
  <c r="W93" i="38"/>
  <c r="V93" i="38"/>
  <c r="U93" i="38"/>
  <c r="T93" i="38"/>
  <c r="S93" i="38"/>
  <c r="R93" i="38"/>
  <c r="Q93" i="38"/>
  <c r="P93" i="38"/>
  <c r="O93" i="38"/>
  <c r="N93" i="38"/>
  <c r="M93" i="38"/>
  <c r="L93" i="38"/>
  <c r="K93" i="38"/>
  <c r="J93" i="38"/>
  <c r="I93" i="38"/>
  <c r="H93" i="38"/>
  <c r="G93" i="38"/>
  <c r="F93" i="38"/>
  <c r="E93" i="38"/>
  <c r="D93" i="38"/>
  <c r="D57" i="38"/>
  <c r="E57" i="38" s="1"/>
  <c r="H5" i="38" s="1"/>
  <c r="D56" i="38"/>
  <c r="E56" i="38" s="1"/>
  <c r="A36" i="38"/>
  <c r="A51" i="38" s="1"/>
  <c r="A35" i="38"/>
  <c r="A50" i="38" s="1"/>
  <c r="A34" i="38"/>
  <c r="A49" i="38" s="1"/>
  <c r="A32" i="38"/>
  <c r="A47" i="38" s="1"/>
  <c r="A31" i="38"/>
  <c r="A46" i="38" s="1"/>
  <c r="A30" i="38"/>
  <c r="A45" i="38" s="1"/>
  <c r="A29" i="38"/>
  <c r="A44" i="38" s="1"/>
  <c r="A28" i="38"/>
  <c r="A43" i="38" s="1"/>
  <c r="A27" i="38"/>
  <c r="A42" i="38" s="1"/>
  <c r="B17" i="38"/>
  <c r="B19" i="38" s="1"/>
  <c r="E68" i="2"/>
  <c r="D68" i="2"/>
  <c r="F68" i="2" s="1"/>
  <c r="C68" i="2"/>
  <c r="E67" i="2"/>
  <c r="F61" i="2"/>
  <c r="E61" i="2"/>
  <c r="D61" i="2"/>
  <c r="C61" i="2"/>
  <c r="F60" i="2"/>
  <c r="E55" i="2"/>
  <c r="D55" i="2"/>
  <c r="E54" i="2"/>
  <c r="G17" i="9"/>
  <c r="G15" i="9"/>
  <c r="G14" i="9"/>
  <c r="D48" i="40" l="1"/>
  <c r="D24" i="40"/>
  <c r="D25" i="40" s="1"/>
  <c r="H178" i="38"/>
  <c r="H98" i="38"/>
  <c r="H131" i="38"/>
  <c r="H143" i="38"/>
  <c r="H166" i="38"/>
  <c r="H154" i="38"/>
  <c r="H120" i="38"/>
  <c r="H109" i="38"/>
  <c r="B8" i="39"/>
  <c r="B12" i="39"/>
  <c r="AJ197" i="38"/>
  <c r="S197" i="38"/>
  <c r="R17" i="3"/>
  <c r="K197" i="38"/>
  <c r="J17" i="3"/>
  <c r="AD197" i="38"/>
  <c r="AC17" i="3"/>
  <c r="N197" i="38"/>
  <c r="M17" i="3"/>
  <c r="Q197" i="38"/>
  <c r="AG197" i="38"/>
  <c r="AI197" i="38"/>
  <c r="AH6" i="3"/>
  <c r="L197" i="38"/>
  <c r="AB197" i="38"/>
  <c r="AA17" i="3"/>
  <c r="AA197" i="38"/>
  <c r="Z17" i="3"/>
  <c r="G17" i="37"/>
  <c r="B195" i="38"/>
  <c r="C4" i="38"/>
  <c r="C140" i="38" s="1"/>
  <c r="D140" i="38" s="1"/>
  <c r="E140" i="38" s="1"/>
  <c r="F140" i="38" s="1"/>
  <c r="G140" i="38" s="1"/>
  <c r="H140" i="38" s="1"/>
  <c r="I140" i="38" s="1"/>
  <c r="J140" i="38" s="1"/>
  <c r="K140" i="38" s="1"/>
  <c r="L140" i="38" s="1"/>
  <c r="M140" i="38" s="1"/>
  <c r="N140" i="38" s="1"/>
  <c r="O140" i="38" s="1"/>
  <c r="P140" i="38" s="1"/>
  <c r="Q140" i="38" s="1"/>
  <c r="R140" i="38" s="1"/>
  <c r="S140" i="38" s="1"/>
  <c r="T140" i="38" s="1"/>
  <c r="U140" i="38" s="1"/>
  <c r="V140" i="38" s="1"/>
  <c r="W140" i="38" s="1"/>
  <c r="X140" i="38" s="1"/>
  <c r="Y140" i="38" s="1"/>
  <c r="Z140" i="38" s="1"/>
  <c r="AA140" i="38" s="1"/>
  <c r="AB140" i="38" s="1"/>
  <c r="AC140" i="38" s="1"/>
  <c r="AD140" i="38" s="1"/>
  <c r="AE140" i="38" s="1"/>
  <c r="AF140" i="38" s="1"/>
  <c r="AG140" i="38" s="1"/>
  <c r="AH140" i="38" s="1"/>
  <c r="AI140" i="38" s="1"/>
  <c r="AJ140" i="38" s="1"/>
  <c r="AK140" i="38" s="1"/>
  <c r="AL140" i="38" s="1"/>
  <c r="AM140" i="38" s="1"/>
  <c r="C5" i="38"/>
  <c r="C120" i="38" s="1"/>
  <c r="D120" i="38" s="1"/>
  <c r="E120" i="38" s="1"/>
  <c r="T8" i="39"/>
  <c r="U8" i="39"/>
  <c r="T197" i="38"/>
  <c r="AM197" i="38"/>
  <c r="AC197" i="38"/>
  <c r="U197" i="38"/>
  <c r="M197" i="38"/>
  <c r="AL197" i="38"/>
  <c r="AK197" i="38"/>
  <c r="X197" i="38"/>
  <c r="Y197" i="38"/>
  <c r="AF197" i="38"/>
  <c r="P197" i="38"/>
  <c r="AH197" i="38"/>
  <c r="Z197" i="38"/>
  <c r="R197" i="38"/>
  <c r="J197" i="38"/>
  <c r="AE197" i="38"/>
  <c r="O197" i="38"/>
  <c r="C174" i="38"/>
  <c r="C164" i="38"/>
  <c r="C166" i="38" s="1"/>
  <c r="D166" i="38" s="1"/>
  <c r="E166" i="38" s="1"/>
  <c r="F166" i="38" s="1"/>
  <c r="G166" i="38" s="1"/>
  <c r="C48" i="38"/>
  <c r="C47" i="38"/>
  <c r="C43" i="38"/>
  <c r="C42" i="38"/>
  <c r="C50" i="38"/>
  <c r="B48" i="38"/>
  <c r="B42" i="38"/>
  <c r="B50" i="38"/>
  <c r="B45" i="38"/>
  <c r="B46" i="38"/>
  <c r="C45" i="38"/>
  <c r="C44" i="38"/>
  <c r="B44" i="38"/>
  <c r="B47" i="38"/>
  <c r="B43" i="38"/>
  <c r="C46" i="38"/>
  <c r="D4" i="38"/>
  <c r="E4" i="38" s="1"/>
  <c r="F4" i="38" s="1"/>
  <c r="D34" i="38"/>
  <c r="C34" i="38"/>
  <c r="B34" i="38"/>
  <c r="B36" i="38" s="1"/>
  <c r="C117" i="38"/>
  <c r="D117" i="38" s="1"/>
  <c r="E117" i="38" s="1"/>
  <c r="C162" i="38"/>
  <c r="D162" i="38" s="1"/>
  <c r="E162" i="38" s="1"/>
  <c r="F162" i="38" s="1"/>
  <c r="G162" i="38" s="1"/>
  <c r="H162" i="38" s="1"/>
  <c r="I162" i="38" s="1"/>
  <c r="J162" i="38" s="1"/>
  <c r="K162" i="38" s="1"/>
  <c r="L162" i="38" s="1"/>
  <c r="M162" i="38" s="1"/>
  <c r="N162" i="38" s="1"/>
  <c r="O162" i="38" s="1"/>
  <c r="P162" i="38" s="1"/>
  <c r="Q162" i="38" s="1"/>
  <c r="R162" i="38" s="1"/>
  <c r="S162" i="38" s="1"/>
  <c r="T162" i="38" s="1"/>
  <c r="U162" i="38" s="1"/>
  <c r="V162" i="38" s="1"/>
  <c r="W162" i="38" s="1"/>
  <c r="X162" i="38" s="1"/>
  <c r="Y162" i="38" s="1"/>
  <c r="Z162" i="38" s="1"/>
  <c r="AA162" i="38" s="1"/>
  <c r="AB162" i="38" s="1"/>
  <c r="AC162" i="38" s="1"/>
  <c r="AD162" i="38" s="1"/>
  <c r="AE162" i="38" s="1"/>
  <c r="AF162" i="38" s="1"/>
  <c r="AG162" i="38" s="1"/>
  <c r="AH162" i="38" s="1"/>
  <c r="AI162" i="38" s="1"/>
  <c r="AJ162" i="38" s="1"/>
  <c r="AK162" i="38" s="1"/>
  <c r="AL162" i="38" s="1"/>
  <c r="AM162" i="38" s="1"/>
  <c r="C109" i="38"/>
  <c r="C6" i="38"/>
  <c r="C98" i="38"/>
  <c r="D98" i="38" s="1"/>
  <c r="E98" i="38" s="1"/>
  <c r="F98" i="38" s="1"/>
  <c r="D24" i="37"/>
  <c r="D25" i="37" s="1"/>
  <c r="D85" i="37"/>
  <c r="E85" i="37" s="1"/>
  <c r="F85" i="37" s="1"/>
  <c r="G85" i="37" s="1"/>
  <c r="H85" i="37" s="1"/>
  <c r="I85" i="37" s="1"/>
  <c r="J85" i="37" s="1"/>
  <c r="K85" i="37" s="1"/>
  <c r="L85" i="37" s="1"/>
  <c r="M85" i="37" s="1"/>
  <c r="N85" i="37" s="1"/>
  <c r="O85" i="37" s="1"/>
  <c r="P85" i="37" s="1"/>
  <c r="Q85" i="37" s="1"/>
  <c r="R85" i="37" s="1"/>
  <c r="S85" i="37" s="1"/>
  <c r="T85" i="37" s="1"/>
  <c r="U85" i="37" s="1"/>
  <c r="V85" i="37" s="1"/>
  <c r="W85" i="37" s="1"/>
  <c r="X85" i="37" s="1"/>
  <c r="Y85" i="37" s="1"/>
  <c r="Z85" i="37" s="1"/>
  <c r="AA85" i="37" s="1"/>
  <c r="AB85" i="37" s="1"/>
  <c r="AC85" i="37" s="1"/>
  <c r="AD85" i="37" s="1"/>
  <c r="AE85" i="37" s="1"/>
  <c r="AF85" i="37" s="1"/>
  <c r="AG85" i="37" s="1"/>
  <c r="AH85" i="37" s="1"/>
  <c r="AI85" i="37" s="1"/>
  <c r="AJ85" i="37" s="1"/>
  <c r="AK85" i="37" s="1"/>
  <c r="AL85" i="37" s="1"/>
  <c r="AM85" i="37" s="1"/>
  <c r="D78" i="37"/>
  <c r="F78" i="37" s="1"/>
  <c r="G67" i="37"/>
  <c r="G66" i="37"/>
  <c r="AF28" i="37"/>
  <c r="AF29" i="37" s="1"/>
  <c r="AE28" i="37"/>
  <c r="AE29" i="37" s="1"/>
  <c r="AD28" i="37"/>
  <c r="AD29" i="37" s="1"/>
  <c r="AC28" i="37"/>
  <c r="AC29" i="37" s="1"/>
  <c r="AB28" i="37"/>
  <c r="AB29" i="37" s="1"/>
  <c r="AA28" i="37"/>
  <c r="AA29" i="37" s="1"/>
  <c r="Z28" i="37"/>
  <c r="Z29" i="37" s="1"/>
  <c r="Y28" i="37"/>
  <c r="Y29" i="37" s="1"/>
  <c r="X28" i="37"/>
  <c r="X29" i="37" s="1"/>
  <c r="W28" i="37"/>
  <c r="W29" i="37" s="1"/>
  <c r="V28" i="37"/>
  <c r="V29" i="37" s="1"/>
  <c r="U28" i="37"/>
  <c r="U29" i="37" s="1"/>
  <c r="T28" i="37"/>
  <c r="T29" i="37" s="1"/>
  <c r="S28" i="37"/>
  <c r="S29" i="37" s="1"/>
  <c r="R28" i="37"/>
  <c r="R29" i="37" s="1"/>
  <c r="Q28" i="37"/>
  <c r="Q29" i="37" s="1"/>
  <c r="P28" i="37"/>
  <c r="P29" i="37" s="1"/>
  <c r="O28" i="37"/>
  <c r="O29" i="37" s="1"/>
  <c r="N28" i="37"/>
  <c r="N29" i="37" s="1"/>
  <c r="M28" i="37"/>
  <c r="M29" i="37" s="1"/>
  <c r="L28" i="37"/>
  <c r="L29" i="37" s="1"/>
  <c r="K28" i="37"/>
  <c r="K29" i="37" s="1"/>
  <c r="J28" i="37"/>
  <c r="J29" i="37" s="1"/>
  <c r="I28" i="37"/>
  <c r="I29" i="37" s="1"/>
  <c r="H28" i="37"/>
  <c r="H29" i="37" s="1"/>
  <c r="G28" i="37"/>
  <c r="G29" i="37" s="1"/>
  <c r="F28" i="37"/>
  <c r="F29" i="37" s="1"/>
  <c r="AF23" i="37"/>
  <c r="AF43" i="37" s="1"/>
  <c r="AE23" i="37"/>
  <c r="AE43" i="37" s="1"/>
  <c r="AD23" i="37"/>
  <c r="AD43" i="37" s="1"/>
  <c r="AC23" i="37"/>
  <c r="AC43" i="37" s="1"/>
  <c r="AB23" i="37"/>
  <c r="AB43" i="37" s="1"/>
  <c r="AA23" i="37"/>
  <c r="AA43" i="37" s="1"/>
  <c r="Z23" i="37"/>
  <c r="Z43" i="37" s="1"/>
  <c r="Y23" i="37"/>
  <c r="Y43" i="37" s="1"/>
  <c r="X23" i="37"/>
  <c r="X43" i="37" s="1"/>
  <c r="W23" i="37"/>
  <c r="W43" i="37" s="1"/>
  <c r="V23" i="37"/>
  <c r="V43" i="37" s="1"/>
  <c r="U23" i="37"/>
  <c r="U43" i="37" s="1"/>
  <c r="T23" i="37"/>
  <c r="T43" i="37" s="1"/>
  <c r="S23" i="37"/>
  <c r="S43" i="37" s="1"/>
  <c r="R23" i="37"/>
  <c r="R43" i="37" s="1"/>
  <c r="Q23" i="37"/>
  <c r="Q43" i="37" s="1"/>
  <c r="P23" i="37"/>
  <c r="P43" i="37" s="1"/>
  <c r="O23" i="37"/>
  <c r="O43" i="37" s="1"/>
  <c r="N23" i="37"/>
  <c r="N43" i="37" s="1"/>
  <c r="M23" i="37"/>
  <c r="M43" i="37" s="1"/>
  <c r="L23" i="37"/>
  <c r="L43" i="37" s="1"/>
  <c r="K23" i="37"/>
  <c r="K43" i="37" s="1"/>
  <c r="J23" i="37"/>
  <c r="J43" i="37" s="1"/>
  <c r="I23" i="37"/>
  <c r="I43" i="37" s="1"/>
  <c r="H23" i="37"/>
  <c r="H43" i="37" s="1"/>
  <c r="G23" i="37"/>
  <c r="G43" i="37" s="1"/>
  <c r="F23" i="37"/>
  <c r="F43" i="37" s="1"/>
  <c r="E23" i="37"/>
  <c r="E43" i="37" s="1"/>
  <c r="D23" i="37"/>
  <c r="D43" i="37" s="1"/>
  <c r="C23" i="37"/>
  <c r="C43" i="37" s="1"/>
  <c r="C19" i="37"/>
  <c r="F18" i="37"/>
  <c r="C24" i="37"/>
  <c r="B10" i="37"/>
  <c r="C18" i="40" l="1"/>
  <c r="E18" i="40" s="1"/>
  <c r="C40" i="40" s="1"/>
  <c r="C17" i="40"/>
  <c r="E17" i="40" s="1"/>
  <c r="C39" i="40" s="1"/>
  <c r="C16" i="40"/>
  <c r="E16" i="40" s="1"/>
  <c r="C38" i="40" s="1"/>
  <c r="E48" i="40"/>
  <c r="D50" i="40"/>
  <c r="V197" i="38"/>
  <c r="U6" i="3"/>
  <c r="W197" i="38"/>
  <c r="V6" i="3"/>
  <c r="C17" i="3"/>
  <c r="G197" i="38"/>
  <c r="F6" i="3"/>
  <c r="H197" i="38"/>
  <c r="G6" i="3"/>
  <c r="I197" i="38"/>
  <c r="H6" i="3"/>
  <c r="F197" i="38"/>
  <c r="E6" i="3"/>
  <c r="C28" i="37"/>
  <c r="C29" i="37" s="1"/>
  <c r="C20" i="37"/>
  <c r="B11" i="37" s="1"/>
  <c r="H17" i="37"/>
  <c r="C106" i="38"/>
  <c r="D106" i="38" s="1"/>
  <c r="E106" i="38" s="1"/>
  <c r="F106" i="38" s="1"/>
  <c r="G106" i="38" s="1"/>
  <c r="I178" i="38"/>
  <c r="J178" i="38" s="1"/>
  <c r="K178" i="38" s="1"/>
  <c r="L178" i="38" s="1"/>
  <c r="M178" i="38" s="1"/>
  <c r="N178" i="38" s="1"/>
  <c r="O178" i="38" s="1"/>
  <c r="P178" i="38" s="1"/>
  <c r="Q178" i="38" s="1"/>
  <c r="R178" i="38" s="1"/>
  <c r="S178" i="38" s="1"/>
  <c r="T178" i="38" s="1"/>
  <c r="U178" i="38" s="1"/>
  <c r="V178" i="38" s="1"/>
  <c r="W178" i="38" s="1"/>
  <c r="X178" i="38" s="1"/>
  <c r="Y178" i="38" s="1"/>
  <c r="Z178" i="38" s="1"/>
  <c r="AA178" i="38" s="1"/>
  <c r="AB178" i="38" s="1"/>
  <c r="AC178" i="38" s="1"/>
  <c r="AD178" i="38" s="1"/>
  <c r="AE178" i="38" s="1"/>
  <c r="AF178" i="38" s="1"/>
  <c r="AG178" i="38" s="1"/>
  <c r="AH178" i="38" s="1"/>
  <c r="AI178" i="38" s="1"/>
  <c r="AJ178" i="38" s="1"/>
  <c r="AK178" i="38" s="1"/>
  <c r="AL178" i="38" s="1"/>
  <c r="AM178" i="38" s="1"/>
  <c r="I5" i="38"/>
  <c r="I109" i="38"/>
  <c r="C178" i="38"/>
  <c r="D178" i="38" s="1"/>
  <c r="E178" i="38" s="1"/>
  <c r="F178" i="38" s="1"/>
  <c r="G178" i="38" s="1"/>
  <c r="C154" i="38"/>
  <c r="D154" i="38" s="1"/>
  <c r="I131" i="38"/>
  <c r="J131" i="38" s="1"/>
  <c r="K131" i="38" s="1"/>
  <c r="L131" i="38" s="1"/>
  <c r="M131" i="38" s="1"/>
  <c r="N131" i="38" s="1"/>
  <c r="O131" i="38" s="1"/>
  <c r="P131" i="38" s="1"/>
  <c r="Q131" i="38" s="1"/>
  <c r="R131" i="38" s="1"/>
  <c r="S131" i="38" s="1"/>
  <c r="T131" i="38" s="1"/>
  <c r="U131" i="38" s="1"/>
  <c r="V131" i="38" s="1"/>
  <c r="W131" i="38" s="1"/>
  <c r="X131" i="38" s="1"/>
  <c r="Y131" i="38" s="1"/>
  <c r="Z131" i="38" s="1"/>
  <c r="AA131" i="38" s="1"/>
  <c r="AB131" i="38" s="1"/>
  <c r="AC131" i="38" s="1"/>
  <c r="AD131" i="38" s="1"/>
  <c r="AE131" i="38" s="1"/>
  <c r="AF131" i="38" s="1"/>
  <c r="AG131" i="38" s="1"/>
  <c r="AH131" i="38" s="1"/>
  <c r="AI131" i="38" s="1"/>
  <c r="AJ131" i="38" s="1"/>
  <c r="AK131" i="38" s="1"/>
  <c r="AL131" i="38" s="1"/>
  <c r="AM131" i="38" s="1"/>
  <c r="C143" i="38"/>
  <c r="D143" i="38" s="1"/>
  <c r="D145" i="38" s="1"/>
  <c r="D5" i="38"/>
  <c r="E5" i="38" s="1"/>
  <c r="F5" i="38" s="1"/>
  <c r="C131" i="38"/>
  <c r="D131" i="38" s="1"/>
  <c r="E131" i="38" s="1"/>
  <c r="F131" i="38" s="1"/>
  <c r="C128" i="38"/>
  <c r="D128" i="38" s="1"/>
  <c r="E128" i="38" s="1"/>
  <c r="F128" i="38" s="1"/>
  <c r="G128" i="38" s="1"/>
  <c r="H128" i="38" s="1"/>
  <c r="I128" i="38" s="1"/>
  <c r="J128" i="38" s="1"/>
  <c r="K128" i="38" s="1"/>
  <c r="L128" i="38" s="1"/>
  <c r="M128" i="38" s="1"/>
  <c r="N128" i="38" s="1"/>
  <c r="O128" i="38" s="1"/>
  <c r="P128" i="38" s="1"/>
  <c r="Q128" i="38" s="1"/>
  <c r="R128" i="38" s="1"/>
  <c r="S128" i="38" s="1"/>
  <c r="T128" i="38" s="1"/>
  <c r="U128" i="38" s="1"/>
  <c r="V128" i="38" s="1"/>
  <c r="W128" i="38" s="1"/>
  <c r="X128" i="38" s="1"/>
  <c r="Y128" i="38" s="1"/>
  <c r="Z128" i="38" s="1"/>
  <c r="AA128" i="38" s="1"/>
  <c r="AB128" i="38" s="1"/>
  <c r="AC128" i="38" s="1"/>
  <c r="AD128" i="38" s="1"/>
  <c r="AE128" i="38" s="1"/>
  <c r="AF128" i="38" s="1"/>
  <c r="AG128" i="38" s="1"/>
  <c r="AH128" i="38" s="1"/>
  <c r="AI128" i="38" s="1"/>
  <c r="AJ128" i="38" s="1"/>
  <c r="AK128" i="38" s="1"/>
  <c r="AL128" i="38" s="1"/>
  <c r="AM128" i="38" s="1"/>
  <c r="C95" i="38"/>
  <c r="D95" i="38" s="1"/>
  <c r="E95" i="38" s="1"/>
  <c r="D19" i="37"/>
  <c r="D20" i="37" s="1"/>
  <c r="D21" i="37" s="1"/>
  <c r="E5" i="10" s="1"/>
  <c r="D18" i="37"/>
  <c r="B193" i="38"/>
  <c r="D174" i="38"/>
  <c r="C168" i="38"/>
  <c r="I166" i="38"/>
  <c r="J166" i="38" s="1"/>
  <c r="K166" i="38" s="1"/>
  <c r="L166" i="38" s="1"/>
  <c r="M166" i="38" s="1"/>
  <c r="N166" i="38" s="1"/>
  <c r="O166" i="38" s="1"/>
  <c r="P166" i="38" s="1"/>
  <c r="Q166" i="38" s="1"/>
  <c r="R166" i="38" s="1"/>
  <c r="S166" i="38" s="1"/>
  <c r="T166" i="38" s="1"/>
  <c r="U166" i="38" s="1"/>
  <c r="V166" i="38" s="1"/>
  <c r="W166" i="38" s="1"/>
  <c r="X166" i="38" s="1"/>
  <c r="Y166" i="38" s="1"/>
  <c r="Z166" i="38" s="1"/>
  <c r="AA166" i="38" s="1"/>
  <c r="AB166" i="38" s="1"/>
  <c r="AC166" i="38" s="1"/>
  <c r="AD166" i="38" s="1"/>
  <c r="AE166" i="38" s="1"/>
  <c r="AF166" i="38" s="1"/>
  <c r="AG166" i="38" s="1"/>
  <c r="AH166" i="38" s="1"/>
  <c r="AI166" i="38" s="1"/>
  <c r="AJ166" i="38" s="1"/>
  <c r="AK166" i="38" s="1"/>
  <c r="AL166" i="38" s="1"/>
  <c r="AM166" i="38" s="1"/>
  <c r="C36" i="38"/>
  <c r="B51" i="38" s="1"/>
  <c r="B49" i="38"/>
  <c r="D36" i="38"/>
  <c r="C49" i="38"/>
  <c r="C122" i="38"/>
  <c r="F117" i="38"/>
  <c r="G117" i="38" s="1"/>
  <c r="H117" i="38" s="1"/>
  <c r="I117" i="38" s="1"/>
  <c r="J117" i="38" s="1"/>
  <c r="K117" i="38" s="1"/>
  <c r="L117" i="38" s="1"/>
  <c r="M117" i="38" s="1"/>
  <c r="N117" i="38" s="1"/>
  <c r="O117" i="38" s="1"/>
  <c r="P117" i="38" s="1"/>
  <c r="Q117" i="38" s="1"/>
  <c r="R117" i="38" s="1"/>
  <c r="S117" i="38" s="1"/>
  <c r="T117" i="38" s="1"/>
  <c r="U117" i="38" s="1"/>
  <c r="V117" i="38" s="1"/>
  <c r="W117" i="38" s="1"/>
  <c r="X117" i="38" s="1"/>
  <c r="Y117" i="38" s="1"/>
  <c r="Z117" i="38" s="1"/>
  <c r="AA117" i="38" s="1"/>
  <c r="AB117" i="38" s="1"/>
  <c r="AC117" i="38" s="1"/>
  <c r="AD117" i="38" s="1"/>
  <c r="AE117" i="38" s="1"/>
  <c r="AF117" i="38" s="1"/>
  <c r="AG117" i="38" s="1"/>
  <c r="AH117" i="38" s="1"/>
  <c r="AI117" i="38" s="1"/>
  <c r="AJ117" i="38" s="1"/>
  <c r="AK117" i="38" s="1"/>
  <c r="AL117" i="38" s="1"/>
  <c r="AM117" i="38" s="1"/>
  <c r="E122" i="38"/>
  <c r="F120" i="38"/>
  <c r="D122" i="38"/>
  <c r="C133" i="38"/>
  <c r="D109" i="38"/>
  <c r="C151" i="38"/>
  <c r="D151" i="38" s="1"/>
  <c r="E151" i="38" s="1"/>
  <c r="C25" i="37"/>
  <c r="E24" i="37"/>
  <c r="E18" i="37"/>
  <c r="G24" i="37"/>
  <c r="G18" i="37"/>
  <c r="F24" i="37"/>
  <c r="C22" i="36"/>
  <c r="C21" i="36"/>
  <c r="C20" i="36"/>
  <c r="C17" i="36"/>
  <c r="C10" i="36"/>
  <c r="C9" i="36"/>
  <c r="C8" i="36"/>
  <c r="C5" i="36"/>
  <c r="AH29" i="36"/>
  <c r="AI29" i="36"/>
  <c r="AJ29" i="36"/>
  <c r="AK29" i="36"/>
  <c r="AL29" i="36"/>
  <c r="AH32" i="36"/>
  <c r="AI32" i="36"/>
  <c r="AJ32" i="36"/>
  <c r="AK32" i="36"/>
  <c r="AL32" i="36"/>
  <c r="AH33" i="36"/>
  <c r="AI33" i="36"/>
  <c r="AJ33" i="36"/>
  <c r="AK33" i="36"/>
  <c r="AL33" i="36"/>
  <c r="AH34" i="36"/>
  <c r="AI34" i="36"/>
  <c r="AJ34" i="36"/>
  <c r="AK34" i="36"/>
  <c r="AL34" i="36"/>
  <c r="C14" i="24"/>
  <c r="C7" i="24"/>
  <c r="C6" i="24"/>
  <c r="C5" i="24"/>
  <c r="AH8" i="24"/>
  <c r="AI8" i="24"/>
  <c r="AJ8" i="24"/>
  <c r="AK8" i="24"/>
  <c r="AL8" i="24"/>
  <c r="AH23" i="24"/>
  <c r="AI23" i="24"/>
  <c r="AJ23" i="24"/>
  <c r="AK23" i="24"/>
  <c r="AL23" i="24"/>
  <c r="AH4" i="35"/>
  <c r="AI4" i="35"/>
  <c r="AI14" i="35" s="1"/>
  <c r="AJ4" i="35"/>
  <c r="AJ34" i="35" s="1"/>
  <c r="AK4" i="35"/>
  <c r="AL4" i="35"/>
  <c r="AL14" i="35" s="1"/>
  <c r="AH14" i="35"/>
  <c r="AK14" i="35"/>
  <c r="AH24" i="35"/>
  <c r="AK24" i="35"/>
  <c r="AL24" i="35"/>
  <c r="AH34" i="35"/>
  <c r="AK34" i="35"/>
  <c r="AL34" i="35"/>
  <c r="C48" i="23"/>
  <c r="C47" i="23"/>
  <c r="C46" i="23"/>
  <c r="C45" i="23"/>
  <c r="C37" i="23"/>
  <c r="C36" i="23"/>
  <c r="C35" i="23"/>
  <c r="C34" i="23"/>
  <c r="C33" i="23"/>
  <c r="C16" i="23"/>
  <c r="C15" i="23"/>
  <c r="C14" i="23"/>
  <c r="C7" i="23"/>
  <c r="C6" i="23"/>
  <c r="C5" i="23"/>
  <c r="AH8" i="23"/>
  <c r="AI8" i="23"/>
  <c r="AJ8" i="23"/>
  <c r="AK8" i="23"/>
  <c r="AL8" i="23"/>
  <c r="AH17" i="23"/>
  <c r="AI17" i="23"/>
  <c r="AJ17" i="23"/>
  <c r="AK17" i="23"/>
  <c r="AL17" i="23"/>
  <c r="AH23" i="23"/>
  <c r="AI23" i="23"/>
  <c r="AJ23" i="23"/>
  <c r="AK23" i="23"/>
  <c r="AL23" i="23"/>
  <c r="AH24" i="23"/>
  <c r="AI24" i="23"/>
  <c r="AJ24" i="23"/>
  <c r="AK24" i="23"/>
  <c r="AL24" i="23"/>
  <c r="AH25" i="23"/>
  <c r="AH26" i="23" s="1"/>
  <c r="AI25" i="23"/>
  <c r="AJ25" i="23"/>
  <c r="AK25" i="23"/>
  <c r="AL25" i="23"/>
  <c r="AH38" i="23"/>
  <c r="AI38" i="23"/>
  <c r="AJ38" i="23"/>
  <c r="AK38" i="23"/>
  <c r="AL38" i="23"/>
  <c r="AH56" i="23"/>
  <c r="AI56" i="23"/>
  <c r="AJ56" i="23"/>
  <c r="AK56" i="23"/>
  <c r="AL56" i="23"/>
  <c r="AH57" i="23"/>
  <c r="AI57" i="23"/>
  <c r="AJ57" i="23"/>
  <c r="AK57" i="23"/>
  <c r="AL57" i="23"/>
  <c r="AH58" i="23"/>
  <c r="AI58" i="23"/>
  <c r="AJ58" i="23"/>
  <c r="AK58" i="23"/>
  <c r="AL58" i="23"/>
  <c r="AH59" i="23"/>
  <c r="AI59" i="23"/>
  <c r="AJ59" i="23"/>
  <c r="AK59" i="23"/>
  <c r="AL59" i="23"/>
  <c r="C20" i="34"/>
  <c r="C18" i="34"/>
  <c r="C7" i="34"/>
  <c r="C5" i="34"/>
  <c r="AH31" i="34"/>
  <c r="AI31" i="34"/>
  <c r="AJ31" i="34"/>
  <c r="AK31" i="34"/>
  <c r="AL31" i="34"/>
  <c r="AH33" i="34"/>
  <c r="AI33" i="34"/>
  <c r="AJ33" i="34"/>
  <c r="AK33" i="34"/>
  <c r="AL33" i="34"/>
  <c r="C48" i="18"/>
  <c r="C47" i="18"/>
  <c r="C46" i="18"/>
  <c r="C45" i="18"/>
  <c r="C44" i="18"/>
  <c r="C43" i="18"/>
  <c r="C42" i="18"/>
  <c r="C35" i="18"/>
  <c r="C34" i="18"/>
  <c r="C33" i="18"/>
  <c r="C32" i="18"/>
  <c r="C31" i="18"/>
  <c r="C30" i="18"/>
  <c r="C29" i="18"/>
  <c r="C14" i="18"/>
  <c r="C13" i="18"/>
  <c r="C6" i="18"/>
  <c r="C5" i="18"/>
  <c r="AH7" i="18"/>
  <c r="AI7" i="18"/>
  <c r="AJ7" i="18"/>
  <c r="AK7" i="18"/>
  <c r="AL7" i="18"/>
  <c r="AM7" i="18"/>
  <c r="AN7" i="18"/>
  <c r="AO7" i="18"/>
  <c r="AP7" i="18"/>
  <c r="AQ7" i="18"/>
  <c r="AH15" i="18"/>
  <c r="AI15" i="18"/>
  <c r="AJ15" i="18"/>
  <c r="AK15" i="18"/>
  <c r="AL15" i="18"/>
  <c r="AM15" i="18"/>
  <c r="AN15" i="18"/>
  <c r="AO15" i="18"/>
  <c r="AP15" i="18"/>
  <c r="AQ15" i="18"/>
  <c r="AH21" i="18"/>
  <c r="AI21" i="18"/>
  <c r="AJ21" i="18"/>
  <c r="AK21" i="18"/>
  <c r="AL21" i="18"/>
  <c r="AL23" i="18" s="1"/>
  <c r="AM21" i="18"/>
  <c r="AM23" i="18" s="1"/>
  <c r="AN21" i="18"/>
  <c r="AO21" i="18"/>
  <c r="AO23" i="18" s="1"/>
  <c r="AP21" i="18"/>
  <c r="AQ21" i="18"/>
  <c r="AH22" i="18"/>
  <c r="AI22" i="18"/>
  <c r="AJ22" i="18"/>
  <c r="AK22" i="18"/>
  <c r="AL22" i="18"/>
  <c r="AM22" i="18"/>
  <c r="AN22" i="18"/>
  <c r="AN23" i="18" s="1"/>
  <c r="AO22" i="18"/>
  <c r="AP22" i="18"/>
  <c r="AQ22" i="18"/>
  <c r="AH23" i="18"/>
  <c r="AI23" i="18"/>
  <c r="AH36" i="18"/>
  <c r="AI36" i="18"/>
  <c r="AJ36" i="18"/>
  <c r="AK36" i="18"/>
  <c r="AL36" i="18"/>
  <c r="AM36" i="18"/>
  <c r="AN36" i="18"/>
  <c r="AO36" i="18"/>
  <c r="AP36" i="18"/>
  <c r="AQ36" i="18"/>
  <c r="AH49" i="18"/>
  <c r="AI49" i="18"/>
  <c r="AJ49" i="18"/>
  <c r="AK49" i="18"/>
  <c r="AL49" i="18"/>
  <c r="AM49" i="18"/>
  <c r="AN49" i="18"/>
  <c r="AO49" i="18"/>
  <c r="AP49" i="18"/>
  <c r="AQ49" i="18"/>
  <c r="AH55" i="18"/>
  <c r="AI55" i="18"/>
  <c r="AJ55" i="18"/>
  <c r="AK55" i="18"/>
  <c r="AL55" i="18"/>
  <c r="AM55" i="18"/>
  <c r="AN55" i="18"/>
  <c r="AO55" i="18"/>
  <c r="AP55" i="18"/>
  <c r="AQ55" i="18"/>
  <c r="AH56" i="18"/>
  <c r="AI56" i="18"/>
  <c r="AJ56" i="18"/>
  <c r="AK56" i="18"/>
  <c r="AL56" i="18"/>
  <c r="AM56" i="18"/>
  <c r="AN56" i="18"/>
  <c r="AO56" i="18"/>
  <c r="AP56" i="18"/>
  <c r="AQ56" i="18"/>
  <c r="AH57" i="18"/>
  <c r="AI57" i="18"/>
  <c r="AJ57" i="18"/>
  <c r="AK57" i="18"/>
  <c r="AL57" i="18"/>
  <c r="AM57" i="18"/>
  <c r="AN57" i="18"/>
  <c r="AO57" i="18"/>
  <c r="AP57" i="18"/>
  <c r="AQ57" i="18"/>
  <c r="AH58" i="18"/>
  <c r="AI58" i="18"/>
  <c r="AJ58" i="18"/>
  <c r="AK58" i="18"/>
  <c r="AL58" i="18"/>
  <c r="AM58" i="18"/>
  <c r="AN58" i="18"/>
  <c r="AO58" i="18"/>
  <c r="AO62" i="18" s="1"/>
  <c r="AP58" i="18"/>
  <c r="AQ58" i="18"/>
  <c r="AH59" i="18"/>
  <c r="AI59" i="18"/>
  <c r="AJ59" i="18"/>
  <c r="AK59" i="18"/>
  <c r="AL59" i="18"/>
  <c r="AM59" i="18"/>
  <c r="AN59" i="18"/>
  <c r="AO59" i="18"/>
  <c r="AP59" i="18"/>
  <c r="AQ59" i="18"/>
  <c r="AH60" i="18"/>
  <c r="AI60" i="18"/>
  <c r="AJ60" i="18"/>
  <c r="AK60" i="18"/>
  <c r="AL60" i="18"/>
  <c r="AM60" i="18"/>
  <c r="AN60" i="18"/>
  <c r="AO60" i="18"/>
  <c r="AP60" i="18"/>
  <c r="AQ60" i="18"/>
  <c r="AH61" i="18"/>
  <c r="AI61" i="18"/>
  <c r="AJ61" i="18"/>
  <c r="AK61" i="18"/>
  <c r="AL61" i="18"/>
  <c r="AM61" i="18"/>
  <c r="AN61" i="18"/>
  <c r="AO61" i="18"/>
  <c r="AP61" i="18"/>
  <c r="AQ61" i="18"/>
  <c r="C52" i="32"/>
  <c r="C51" i="32"/>
  <c r="C50" i="32"/>
  <c r="C49" i="32"/>
  <c r="C43" i="32"/>
  <c r="C17" i="32"/>
  <c r="C16" i="32"/>
  <c r="C15" i="32"/>
  <c r="C14" i="32"/>
  <c r="C8" i="32"/>
  <c r="AH4" i="32"/>
  <c r="AI4" i="32"/>
  <c r="AI13" i="32" s="1"/>
  <c r="AJ4" i="32"/>
  <c r="AJ13" i="32" s="1"/>
  <c r="AK4" i="32"/>
  <c r="AL4" i="32"/>
  <c r="AL48" i="32" s="1"/>
  <c r="AH26" i="32"/>
  <c r="AI26" i="32"/>
  <c r="AJ26" i="32"/>
  <c r="AK26" i="32"/>
  <c r="AL26" i="32"/>
  <c r="AI39" i="32"/>
  <c r="AJ39" i="32"/>
  <c r="AI48" i="32"/>
  <c r="AJ48" i="32"/>
  <c r="AI57" i="32"/>
  <c r="AJ57" i="32"/>
  <c r="AH61" i="32"/>
  <c r="AI61" i="32"/>
  <c r="AJ61" i="32"/>
  <c r="AK61" i="32"/>
  <c r="AL61" i="32"/>
  <c r="C54" i="31"/>
  <c r="C53" i="31"/>
  <c r="C52" i="31"/>
  <c r="C51" i="31"/>
  <c r="C45" i="31"/>
  <c r="C17" i="31"/>
  <c r="C16" i="31"/>
  <c r="C15" i="31"/>
  <c r="C14" i="31"/>
  <c r="C8" i="31"/>
  <c r="AH4" i="31"/>
  <c r="AI4" i="31"/>
  <c r="AJ4" i="31"/>
  <c r="AK4" i="31"/>
  <c r="AK13" i="31" s="1"/>
  <c r="AL4" i="31"/>
  <c r="AL22" i="31" s="1"/>
  <c r="AH13" i="31"/>
  <c r="AI13" i="31"/>
  <c r="AH22" i="31"/>
  <c r="AI22" i="31"/>
  <c r="AH26" i="31"/>
  <c r="AH87" i="31" s="1"/>
  <c r="AI26" i="31"/>
  <c r="AJ26" i="31"/>
  <c r="AK26" i="31"/>
  <c r="AL26" i="31"/>
  <c r="AH41" i="31"/>
  <c r="AI41" i="31"/>
  <c r="AH50" i="31"/>
  <c r="AI50" i="31"/>
  <c r="AL50" i="31"/>
  <c r="AH59" i="31"/>
  <c r="AI59" i="31"/>
  <c r="AH63" i="31"/>
  <c r="AI63" i="31"/>
  <c r="AJ63" i="31"/>
  <c r="AK63" i="31"/>
  <c r="AL63" i="31"/>
  <c r="C39" i="10"/>
  <c r="AH41" i="10"/>
  <c r="AH44" i="10" s="1"/>
  <c r="AI41" i="10"/>
  <c r="AI42" i="10" s="1"/>
  <c r="AJ41" i="10"/>
  <c r="AK41" i="10"/>
  <c r="AK43" i="10" s="1"/>
  <c r="AL41" i="10"/>
  <c r="AL43" i="10" s="1"/>
  <c r="AJ42" i="10"/>
  <c r="AJ43" i="10"/>
  <c r="AI44" i="10"/>
  <c r="AJ44" i="10"/>
  <c r="AK44" i="10"/>
  <c r="AL44" i="10"/>
  <c r="AH22" i="6"/>
  <c r="AI22" i="6"/>
  <c r="AJ22" i="6"/>
  <c r="AK22" i="6"/>
  <c r="AH37" i="6"/>
  <c r="AI37" i="6"/>
  <c r="AJ37" i="6"/>
  <c r="AK37" i="6"/>
  <c r="AL37" i="6"/>
  <c r="AH53" i="6"/>
  <c r="AI53" i="6"/>
  <c r="AJ53" i="6"/>
  <c r="AK53" i="6"/>
  <c r="AL53" i="6"/>
  <c r="AH22" i="4"/>
  <c r="AI22" i="4"/>
  <c r="AJ22" i="4"/>
  <c r="AK22" i="4"/>
  <c r="AL22" i="4"/>
  <c r="AH20" i="3"/>
  <c r="AI20" i="3"/>
  <c r="AJ20" i="3"/>
  <c r="AK20" i="3"/>
  <c r="AL20" i="3"/>
  <c r="AH28" i="3"/>
  <c r="AH39" i="3" s="1"/>
  <c r="AI28" i="3"/>
  <c r="AI39" i="3" s="1"/>
  <c r="AJ28" i="3"/>
  <c r="AJ39" i="3" s="1"/>
  <c r="AK28" i="3"/>
  <c r="AK39" i="3" s="1"/>
  <c r="AL28" i="3"/>
  <c r="AL39" i="3" s="1"/>
  <c r="AH30" i="3"/>
  <c r="AH31" i="3" s="1"/>
  <c r="AI30" i="3"/>
  <c r="AI31" i="3" s="1"/>
  <c r="AJ30" i="3"/>
  <c r="AJ41" i="3" s="1"/>
  <c r="AJ42" i="3" s="1"/>
  <c r="AK30" i="3"/>
  <c r="AK31" i="3" s="1"/>
  <c r="AL30" i="3"/>
  <c r="AL31" i="3" s="1"/>
  <c r="AH9" i="3"/>
  <c r="AI9" i="3"/>
  <c r="AJ9" i="3"/>
  <c r="AK9" i="3"/>
  <c r="AL9" i="3"/>
  <c r="L6" i="34" l="1"/>
  <c r="T6" i="34"/>
  <c r="AB6" i="34"/>
  <c r="AJ6" i="34"/>
  <c r="J8" i="34"/>
  <c r="R8" i="34"/>
  <c r="Z8" i="34"/>
  <c r="AH8" i="34"/>
  <c r="H9" i="34"/>
  <c r="P9" i="34"/>
  <c r="X9" i="34"/>
  <c r="AF9" i="34"/>
  <c r="F10" i="34"/>
  <c r="N10" i="34"/>
  <c r="V10" i="34"/>
  <c r="AD10" i="34"/>
  <c r="AL10" i="34"/>
  <c r="L11" i="34"/>
  <c r="T11" i="34"/>
  <c r="AB11" i="34"/>
  <c r="AJ11" i="34"/>
  <c r="E5" i="35"/>
  <c r="M5" i="35"/>
  <c r="U5" i="35"/>
  <c r="AC5" i="35"/>
  <c r="AK5" i="35"/>
  <c r="K6" i="35"/>
  <c r="S6" i="35"/>
  <c r="AA6" i="35"/>
  <c r="AI6" i="35"/>
  <c r="I7" i="35"/>
  <c r="Q7" i="35"/>
  <c r="Y7" i="35"/>
  <c r="AG7" i="35"/>
  <c r="G8" i="35"/>
  <c r="O8" i="35"/>
  <c r="W8" i="35"/>
  <c r="AE8" i="35"/>
  <c r="D8" i="35"/>
  <c r="N6" i="34"/>
  <c r="J9" i="34"/>
  <c r="AH9" i="34"/>
  <c r="P10" i="34"/>
  <c r="N11" i="34"/>
  <c r="E6" i="34"/>
  <c r="M6" i="34"/>
  <c r="U6" i="34"/>
  <c r="AC6" i="34"/>
  <c r="AK6" i="34"/>
  <c r="K8" i="34"/>
  <c r="S8" i="34"/>
  <c r="AA8" i="34"/>
  <c r="AI8" i="34"/>
  <c r="I9" i="34"/>
  <c r="Q9" i="34"/>
  <c r="Y9" i="34"/>
  <c r="AG9" i="34"/>
  <c r="G10" i="34"/>
  <c r="O10" i="34"/>
  <c r="W10" i="34"/>
  <c r="AE10" i="34"/>
  <c r="E11" i="34"/>
  <c r="M11" i="34"/>
  <c r="U11" i="34"/>
  <c r="AC11" i="34"/>
  <c r="AK11" i="34"/>
  <c r="F5" i="35"/>
  <c r="N5" i="35"/>
  <c r="V5" i="35"/>
  <c r="AD5" i="35"/>
  <c r="AL5" i="35"/>
  <c r="L6" i="35"/>
  <c r="T6" i="35"/>
  <c r="AB6" i="35"/>
  <c r="AJ6" i="35"/>
  <c r="J7" i="35"/>
  <c r="R7" i="35"/>
  <c r="Z7" i="35"/>
  <c r="AH7" i="35"/>
  <c r="H8" i="35"/>
  <c r="P8" i="35"/>
  <c r="X8" i="35"/>
  <c r="AF8" i="35"/>
  <c r="D7" i="35"/>
  <c r="V6" i="34"/>
  <c r="AL6" i="34"/>
  <c r="L8" i="34"/>
  <c r="T8" i="34"/>
  <c r="AJ8" i="34"/>
  <c r="R9" i="34"/>
  <c r="H10" i="34"/>
  <c r="F11" i="34"/>
  <c r="G6" i="34"/>
  <c r="O6" i="34"/>
  <c r="W6" i="34"/>
  <c r="AE6" i="34"/>
  <c r="E8" i="34"/>
  <c r="M8" i="34"/>
  <c r="U8" i="34"/>
  <c r="AC8" i="34"/>
  <c r="AK8" i="34"/>
  <c r="K9" i="34"/>
  <c r="S9" i="34"/>
  <c r="AA9" i="34"/>
  <c r="AI9" i="34"/>
  <c r="I10" i="34"/>
  <c r="Q10" i="34"/>
  <c r="Y10" i="34"/>
  <c r="AG10" i="34"/>
  <c r="G11" i="34"/>
  <c r="O11" i="34"/>
  <c r="W11" i="34"/>
  <c r="AE11" i="34"/>
  <c r="D11" i="34"/>
  <c r="H5" i="35"/>
  <c r="P5" i="35"/>
  <c r="X5" i="35"/>
  <c r="AF5" i="35"/>
  <c r="F6" i="35"/>
  <c r="N6" i="35"/>
  <c r="V6" i="35"/>
  <c r="AD6" i="35"/>
  <c r="AL6" i="35"/>
  <c r="L7" i="35"/>
  <c r="T7" i="35"/>
  <c r="AB7" i="35"/>
  <c r="AJ7" i="35"/>
  <c r="J8" i="35"/>
  <c r="R8" i="35"/>
  <c r="Z8" i="35"/>
  <c r="AH8" i="35"/>
  <c r="D5" i="35"/>
  <c r="H6" i="34"/>
  <c r="P6" i="34"/>
  <c r="X6" i="34"/>
  <c r="AF6" i="34"/>
  <c r="F8" i="34"/>
  <c r="N8" i="34"/>
  <c r="V8" i="34"/>
  <c r="I6" i="34"/>
  <c r="Q6" i="34"/>
  <c r="Y6" i="34"/>
  <c r="AG6" i="34"/>
  <c r="G8" i="34"/>
  <c r="O8" i="34"/>
  <c r="W8" i="34"/>
  <c r="AE8" i="34"/>
  <c r="E9" i="34"/>
  <c r="M9" i="34"/>
  <c r="U9" i="34"/>
  <c r="AC9" i="34"/>
  <c r="AK9" i="34"/>
  <c r="K10" i="34"/>
  <c r="S10" i="34"/>
  <c r="AA10" i="34"/>
  <c r="AI10" i="34"/>
  <c r="I11" i="34"/>
  <c r="Q11" i="34"/>
  <c r="Y11" i="34"/>
  <c r="AG11" i="34"/>
  <c r="D9" i="34"/>
  <c r="J5" i="35"/>
  <c r="R5" i="35"/>
  <c r="Z5" i="35"/>
  <c r="AH5" i="35"/>
  <c r="H6" i="35"/>
  <c r="P6" i="35"/>
  <c r="X6" i="35"/>
  <c r="AF6" i="35"/>
  <c r="F7" i="35"/>
  <c r="N7" i="35"/>
  <c r="V7" i="35"/>
  <c r="AD7" i="35"/>
  <c r="AL7" i="35"/>
  <c r="L8" i="35"/>
  <c r="T8" i="35"/>
  <c r="AB8" i="35"/>
  <c r="AJ8" i="35"/>
  <c r="F6" i="34"/>
  <c r="AB8" i="34"/>
  <c r="Z9" i="34"/>
  <c r="AF10" i="34"/>
  <c r="J6" i="34"/>
  <c r="R6" i="34"/>
  <c r="Z6" i="34"/>
  <c r="AH6" i="34"/>
  <c r="H8" i="34"/>
  <c r="P8" i="34"/>
  <c r="X8" i="34"/>
  <c r="AF8" i="34"/>
  <c r="F9" i="34"/>
  <c r="N9" i="34"/>
  <c r="V9" i="34"/>
  <c r="AD9" i="34"/>
  <c r="AL9" i="34"/>
  <c r="L10" i="34"/>
  <c r="T10" i="34"/>
  <c r="AB10" i="34"/>
  <c r="AJ10" i="34"/>
  <c r="J11" i="34"/>
  <c r="R11" i="34"/>
  <c r="Z11" i="34"/>
  <c r="AH11" i="34"/>
  <c r="D8" i="34"/>
  <c r="K5" i="35"/>
  <c r="S5" i="35"/>
  <c r="AA5" i="35"/>
  <c r="AI5" i="35"/>
  <c r="I6" i="35"/>
  <c r="Q6" i="35"/>
  <c r="Y6" i="35"/>
  <c r="AG6" i="35"/>
  <c r="G7" i="35"/>
  <c r="O7" i="35"/>
  <c r="W7" i="35"/>
  <c r="AE7" i="35"/>
  <c r="E8" i="35"/>
  <c r="M8" i="35"/>
  <c r="U8" i="35"/>
  <c r="AC8" i="35"/>
  <c r="AK8" i="35"/>
  <c r="AD6" i="34"/>
  <c r="K6" i="34"/>
  <c r="S6" i="34"/>
  <c r="AA6" i="34"/>
  <c r="AI6" i="34"/>
  <c r="I8" i="34"/>
  <c r="Q8" i="34"/>
  <c r="Y8" i="34"/>
  <c r="AG8" i="34"/>
  <c r="G9" i="34"/>
  <c r="O9" i="34"/>
  <c r="W9" i="34"/>
  <c r="AE9" i="34"/>
  <c r="E10" i="34"/>
  <c r="M10" i="34"/>
  <c r="U10" i="34"/>
  <c r="AC10" i="34"/>
  <c r="AK10" i="34"/>
  <c r="K11" i="34"/>
  <c r="S11" i="34"/>
  <c r="AA11" i="34"/>
  <c r="AI11" i="34"/>
  <c r="D6" i="34"/>
  <c r="L5" i="35"/>
  <c r="T5" i="35"/>
  <c r="AB5" i="35"/>
  <c r="AJ5" i="35"/>
  <c r="J6" i="35"/>
  <c r="R6" i="35"/>
  <c r="Z6" i="35"/>
  <c r="AH6" i="35"/>
  <c r="H7" i="35"/>
  <c r="P7" i="35"/>
  <c r="X7" i="35"/>
  <c r="AF7" i="35"/>
  <c r="F8" i="35"/>
  <c r="N8" i="35"/>
  <c r="V8" i="35"/>
  <c r="AD8" i="35"/>
  <c r="AL8" i="35"/>
  <c r="AD8" i="34"/>
  <c r="X10" i="34"/>
  <c r="AF11" i="34"/>
  <c r="Y5" i="35"/>
  <c r="W6" i="35"/>
  <c r="U7" i="35"/>
  <c r="S8" i="35"/>
  <c r="AL8" i="34"/>
  <c r="Z10" i="34"/>
  <c r="AL11" i="34"/>
  <c r="AE5" i="35"/>
  <c r="Y8" i="35"/>
  <c r="D10" i="34"/>
  <c r="AC7" i="35"/>
  <c r="L9" i="34"/>
  <c r="T9" i="34"/>
  <c r="H11" i="34"/>
  <c r="G5" i="35"/>
  <c r="E6" i="35"/>
  <c r="AK6" i="35"/>
  <c r="AI7" i="35"/>
  <c r="AG8" i="35"/>
  <c r="AD11" i="34"/>
  <c r="S7" i="35"/>
  <c r="AA7" i="35"/>
  <c r="AG5" i="35"/>
  <c r="AA8" i="35"/>
  <c r="AB9" i="34"/>
  <c r="P11" i="34"/>
  <c r="I5" i="35"/>
  <c r="G6" i="35"/>
  <c r="E7" i="35"/>
  <c r="AK7" i="35"/>
  <c r="AI8" i="35"/>
  <c r="U6" i="35"/>
  <c r="AC6" i="35"/>
  <c r="AJ9" i="34"/>
  <c r="V11" i="34"/>
  <c r="O5" i="35"/>
  <c r="M6" i="35"/>
  <c r="K7" i="35"/>
  <c r="I8" i="35"/>
  <c r="D6" i="35"/>
  <c r="Q8" i="35"/>
  <c r="AH10" i="34"/>
  <c r="AE6" i="35"/>
  <c r="J10" i="34"/>
  <c r="X11" i="34"/>
  <c r="Q5" i="35"/>
  <c r="O6" i="35"/>
  <c r="M7" i="35"/>
  <c r="K8" i="35"/>
  <c r="R10" i="34"/>
  <c r="W5" i="35"/>
  <c r="C26" i="37"/>
  <c r="D6" i="10" s="1"/>
  <c r="C30" i="37"/>
  <c r="D6" i="36"/>
  <c r="D7" i="36"/>
  <c r="D51" i="40"/>
  <c r="D52" i="40"/>
  <c r="D53" i="40"/>
  <c r="F48" i="40"/>
  <c r="E50" i="40"/>
  <c r="AI34" i="35"/>
  <c r="AI24" i="35"/>
  <c r="AJ26" i="23"/>
  <c r="AL27" i="23"/>
  <c r="AI26" i="23"/>
  <c r="AI43" i="10"/>
  <c r="AK42" i="10"/>
  <c r="AL42" i="10"/>
  <c r="AJ22" i="32"/>
  <c r="AI22" i="32"/>
  <c r="AJ87" i="31"/>
  <c r="AI87" i="31"/>
  <c r="B197" i="38"/>
  <c r="C6" i="3"/>
  <c r="H24" i="37"/>
  <c r="H25" i="37" s="1"/>
  <c r="AL41" i="3"/>
  <c r="AL42" i="3" s="1"/>
  <c r="C111" i="38"/>
  <c r="C21" i="37"/>
  <c r="H18" i="37"/>
  <c r="I17" i="37"/>
  <c r="AG31" i="37"/>
  <c r="AI31" i="37"/>
  <c r="AH31" i="37"/>
  <c r="AJ31" i="37"/>
  <c r="AK31" i="37"/>
  <c r="D6" i="38"/>
  <c r="C180" i="38"/>
  <c r="E143" i="38"/>
  <c r="E145" i="38" s="1"/>
  <c r="C187" i="38"/>
  <c r="D133" i="38"/>
  <c r="C145" i="38"/>
  <c r="D187" i="38"/>
  <c r="C185" i="38"/>
  <c r="B117" i="38"/>
  <c r="D185" i="38"/>
  <c r="B140" i="38"/>
  <c r="E19" i="37"/>
  <c r="F19" i="37" s="1"/>
  <c r="D28" i="37"/>
  <c r="D29" i="37" s="1"/>
  <c r="D30" i="37" s="1"/>
  <c r="D33" i="37" s="1"/>
  <c r="E22" i="10" s="1"/>
  <c r="D180" i="38"/>
  <c r="D168" i="38"/>
  <c r="E6" i="38"/>
  <c r="E174" i="38"/>
  <c r="C51" i="38"/>
  <c r="J5" i="38"/>
  <c r="E133" i="38"/>
  <c r="C100" i="38"/>
  <c r="F95" i="38"/>
  <c r="F122" i="38"/>
  <c r="H106" i="38"/>
  <c r="D156" i="38"/>
  <c r="E154" i="38"/>
  <c r="I143" i="38"/>
  <c r="H145" i="38"/>
  <c r="G145" i="38"/>
  <c r="J109" i="38"/>
  <c r="C156" i="38"/>
  <c r="F143" i="38"/>
  <c r="D111" i="38"/>
  <c r="E109" i="38"/>
  <c r="F151" i="38"/>
  <c r="G151" i="38" s="1"/>
  <c r="H151" i="38" s="1"/>
  <c r="I151" i="38" s="1"/>
  <c r="J151" i="38" s="1"/>
  <c r="K151" i="38" s="1"/>
  <c r="L151" i="38" s="1"/>
  <c r="M151" i="38" s="1"/>
  <c r="N151" i="38" s="1"/>
  <c r="O151" i="38" s="1"/>
  <c r="P151" i="38" s="1"/>
  <c r="Q151" i="38" s="1"/>
  <c r="R151" i="38" s="1"/>
  <c r="S151" i="38" s="1"/>
  <c r="T151" i="38" s="1"/>
  <c r="U151" i="38" s="1"/>
  <c r="V151" i="38" s="1"/>
  <c r="W151" i="38" s="1"/>
  <c r="X151" i="38" s="1"/>
  <c r="Y151" i="38" s="1"/>
  <c r="Z151" i="38" s="1"/>
  <c r="AA151" i="38" s="1"/>
  <c r="AB151" i="38" s="1"/>
  <c r="AC151" i="38" s="1"/>
  <c r="AD151" i="38" s="1"/>
  <c r="AE151" i="38" s="1"/>
  <c r="AF151" i="38" s="1"/>
  <c r="AG151" i="38" s="1"/>
  <c r="AH151" i="38" s="1"/>
  <c r="AI151" i="38" s="1"/>
  <c r="AJ151" i="38" s="1"/>
  <c r="AK151" i="38" s="1"/>
  <c r="AL151" i="38" s="1"/>
  <c r="AM151" i="38" s="1"/>
  <c r="D100" i="38"/>
  <c r="C72" i="37"/>
  <c r="G73" i="37" s="1"/>
  <c r="H67" i="37"/>
  <c r="F67" i="37"/>
  <c r="F66" i="37"/>
  <c r="G25" i="37"/>
  <c r="F25" i="37"/>
  <c r="E25" i="37"/>
  <c r="F69" i="37"/>
  <c r="AL87" i="31"/>
  <c r="AH57" i="32"/>
  <c r="AH13" i="32"/>
  <c r="AH39" i="32"/>
  <c r="AK62" i="18"/>
  <c r="AM62" i="18"/>
  <c r="AK41" i="31"/>
  <c r="AJ13" i="31"/>
  <c r="AJ41" i="31"/>
  <c r="AJ50" i="31"/>
  <c r="AJ22" i="31"/>
  <c r="AK50" i="31"/>
  <c r="AK26" i="23"/>
  <c r="AK27" i="23"/>
  <c r="AL22" i="32"/>
  <c r="AL39" i="32"/>
  <c r="AL57" i="32"/>
  <c r="AH22" i="32"/>
  <c r="AK13" i="32"/>
  <c r="AK39" i="32"/>
  <c r="AK22" i="32"/>
  <c r="AK48" i="32"/>
  <c r="AK57" i="32"/>
  <c r="AH48" i="32"/>
  <c r="AL62" i="18"/>
  <c r="AK87" i="31"/>
  <c r="AK23" i="18"/>
  <c r="AJ23" i="18"/>
  <c r="AJ27" i="23"/>
  <c r="AQ23" i="18"/>
  <c r="AI27" i="23"/>
  <c r="AP62" i="18"/>
  <c r="AP23" i="18"/>
  <c r="AH27" i="23"/>
  <c r="AN62" i="18"/>
  <c r="AL26" i="23"/>
  <c r="AJ14" i="35"/>
  <c r="AJ24" i="35"/>
  <c r="AJ62" i="18"/>
  <c r="AI62" i="18"/>
  <c r="AH62" i="18"/>
  <c r="AQ62" i="18"/>
  <c r="AL13" i="32"/>
  <c r="AK22" i="31"/>
  <c r="AK59" i="31"/>
  <c r="AJ59" i="31"/>
  <c r="AL59" i="31"/>
  <c r="AL13" i="31"/>
  <c r="AL41" i="31"/>
  <c r="AH42" i="10"/>
  <c r="AH43" i="10"/>
  <c r="AK41" i="3"/>
  <c r="AK42" i="3" s="1"/>
  <c r="AJ31" i="3"/>
  <c r="AI41" i="3"/>
  <c r="AI42" i="3" s="1"/>
  <c r="AH41" i="3"/>
  <c r="AH42" i="3" s="1"/>
  <c r="C15" i="9"/>
  <c r="C16" i="9"/>
  <c r="C17" i="9"/>
  <c r="C18" i="9"/>
  <c r="E27" i="2"/>
  <c r="F27" i="2"/>
  <c r="G27" i="2"/>
  <c r="H27" i="2"/>
  <c r="I27" i="2"/>
  <c r="J27" i="2"/>
  <c r="E28" i="2"/>
  <c r="F28" i="2"/>
  <c r="G28" i="2"/>
  <c r="H28" i="2"/>
  <c r="I28" i="2"/>
  <c r="J28" i="2"/>
  <c r="E29" i="2"/>
  <c r="F29" i="2"/>
  <c r="G29" i="2"/>
  <c r="H29" i="2"/>
  <c r="I29" i="2"/>
  <c r="J29" i="2"/>
  <c r="E30" i="2"/>
  <c r="F30" i="2"/>
  <c r="G30" i="2"/>
  <c r="H30" i="2"/>
  <c r="I30" i="2"/>
  <c r="J30" i="2"/>
  <c r="E31" i="2"/>
  <c r="F31" i="2"/>
  <c r="G31" i="2"/>
  <c r="H31" i="2"/>
  <c r="I31" i="2"/>
  <c r="J31" i="2"/>
  <c r="D28" i="2"/>
  <c r="D29" i="2"/>
  <c r="D30" i="2"/>
  <c r="D31" i="2"/>
  <c r="D27" i="2"/>
  <c r="E5" i="2"/>
  <c r="F3" i="7" s="1"/>
  <c r="F5" i="2"/>
  <c r="G3" i="7" s="1"/>
  <c r="G5" i="2"/>
  <c r="H5" i="2"/>
  <c r="I5" i="2"/>
  <c r="J5" i="2"/>
  <c r="D5" i="2"/>
  <c r="C9" i="2"/>
  <c r="L8" i="9" s="1"/>
  <c r="C10" i="2"/>
  <c r="C8" i="35" l="1"/>
  <c r="C11" i="34"/>
  <c r="AL12" i="34"/>
  <c r="C9" i="34"/>
  <c r="D11" i="36"/>
  <c r="AJ12" i="34"/>
  <c r="C8" i="34"/>
  <c r="C10" i="34"/>
  <c r="AK12" i="34"/>
  <c r="AH12" i="34"/>
  <c r="E6" i="36"/>
  <c r="E7" i="36"/>
  <c r="AI12" i="34"/>
  <c r="D12" i="34"/>
  <c r="C6" i="34"/>
  <c r="D50" i="37"/>
  <c r="D51" i="37" s="1"/>
  <c r="E58" i="40"/>
  <c r="E57" i="40" s="1"/>
  <c r="E23" i="10"/>
  <c r="G48" i="40"/>
  <c r="F50" i="40"/>
  <c r="C44" i="37"/>
  <c r="C45" i="37" s="1"/>
  <c r="D5" i="10"/>
  <c r="D7" i="33"/>
  <c r="D6" i="33"/>
  <c r="D5" i="33"/>
  <c r="D54" i="40"/>
  <c r="E52" i="40"/>
  <c r="E53" i="40"/>
  <c r="E51" i="40"/>
  <c r="D5" i="4"/>
  <c r="E5" i="4"/>
  <c r="F5" i="4"/>
  <c r="G5" i="4"/>
  <c r="H5" i="4"/>
  <c r="I5" i="4"/>
  <c r="J5" i="4"/>
  <c r="I18" i="37"/>
  <c r="I24" i="37"/>
  <c r="J17" i="37"/>
  <c r="K5" i="4" s="1"/>
  <c r="C189" i="38"/>
  <c r="D189" i="38"/>
  <c r="E168" i="38"/>
  <c r="B151" i="38"/>
  <c r="E187" i="38"/>
  <c r="D16" i="3" s="1"/>
  <c r="E185" i="38"/>
  <c r="D5" i="3" s="1"/>
  <c r="E28" i="37"/>
  <c r="E29" i="37" s="1"/>
  <c r="E20" i="37"/>
  <c r="E21" i="37" s="1"/>
  <c r="F5" i="10" s="1"/>
  <c r="D35" i="37"/>
  <c r="D26" i="37"/>
  <c r="E6" i="10" s="1"/>
  <c r="D34" i="37"/>
  <c r="D41" i="37"/>
  <c r="E13" i="4" s="1"/>
  <c r="F145" i="38"/>
  <c r="G4" i="38"/>
  <c r="F174" i="38"/>
  <c r="E180" i="38"/>
  <c r="I98" i="38"/>
  <c r="F6" i="38"/>
  <c r="F168" i="38"/>
  <c r="E156" i="38"/>
  <c r="F154" i="38"/>
  <c r="F156" i="38" s="1"/>
  <c r="E100" i="38"/>
  <c r="G156" i="38"/>
  <c r="F109" i="38"/>
  <c r="E111" i="38"/>
  <c r="I106" i="38"/>
  <c r="H111" i="38"/>
  <c r="K109" i="38"/>
  <c r="K5" i="38"/>
  <c r="G122" i="38"/>
  <c r="I154" i="38"/>
  <c r="H156" i="38"/>
  <c r="F133" i="38"/>
  <c r="I145" i="38"/>
  <c r="J143" i="38"/>
  <c r="G19" i="37"/>
  <c r="F20" i="37"/>
  <c r="F30" i="37" s="1"/>
  <c r="F72" i="37"/>
  <c r="C33" i="37"/>
  <c r="D22" i="10" s="1"/>
  <c r="H72" i="37"/>
  <c r="AB31" i="37"/>
  <c r="T31" i="37"/>
  <c r="L31" i="37"/>
  <c r="AA31" i="37"/>
  <c r="S31" i="37"/>
  <c r="K31" i="37"/>
  <c r="Y31" i="37"/>
  <c r="Q31" i="37"/>
  <c r="I31" i="37"/>
  <c r="W31" i="37"/>
  <c r="J31" i="37"/>
  <c r="AF31" i="37"/>
  <c r="U31" i="37"/>
  <c r="G31" i="37"/>
  <c r="G26" i="37" s="1"/>
  <c r="H6" i="10" s="1"/>
  <c r="AE31" i="37"/>
  <c r="R31" i="37"/>
  <c r="F31" i="37"/>
  <c r="F26" i="37" s="1"/>
  <c r="G6" i="10" s="1"/>
  <c r="AD31" i="37"/>
  <c r="P31" i="37"/>
  <c r="Z31" i="37"/>
  <c r="N31" i="37"/>
  <c r="AC31" i="37"/>
  <c r="X31" i="37"/>
  <c r="V31" i="37"/>
  <c r="O31" i="37"/>
  <c r="H31" i="37"/>
  <c r="H26" i="37" s="1"/>
  <c r="I6" i="10" s="1"/>
  <c r="M31" i="37"/>
  <c r="C31" i="2"/>
  <c r="H26" i="2"/>
  <c r="F26" i="2"/>
  <c r="C30" i="2"/>
  <c r="G26" i="2"/>
  <c r="I26" i="2"/>
  <c r="E26" i="2"/>
  <c r="J26" i="2"/>
  <c r="D26" i="2"/>
  <c r="C5" i="2"/>
  <c r="E42" i="31" l="1"/>
  <c r="E7" i="31"/>
  <c r="E44" i="31"/>
  <c r="E43" i="31"/>
  <c r="E6" i="31"/>
  <c r="E5" i="31"/>
  <c r="F6" i="36"/>
  <c r="F7" i="36"/>
  <c r="E5" i="33"/>
  <c r="E54" i="40"/>
  <c r="E7" i="33"/>
  <c r="F51" i="40"/>
  <c r="F52" i="40"/>
  <c r="F53" i="40"/>
  <c r="D38" i="37"/>
  <c r="E40" i="32"/>
  <c r="E41" i="32"/>
  <c r="E42" i="32"/>
  <c r="E6" i="33"/>
  <c r="H48" i="40"/>
  <c r="G50" i="40"/>
  <c r="E5" i="32"/>
  <c r="E6" i="32"/>
  <c r="E7" i="32"/>
  <c r="E67" i="40"/>
  <c r="E60" i="40"/>
  <c r="D58" i="40"/>
  <c r="D23" i="10"/>
  <c r="I26" i="37"/>
  <c r="J6" i="10" s="1"/>
  <c r="F111" i="38"/>
  <c r="G109" i="38"/>
  <c r="J18" i="37"/>
  <c r="J24" i="37"/>
  <c r="J25" i="37" s="1"/>
  <c r="K17" i="37"/>
  <c r="L5" i="4" s="1"/>
  <c r="I25" i="37"/>
  <c r="E30" i="37"/>
  <c r="E33" i="37" s="1"/>
  <c r="F22" i="10" s="1"/>
  <c r="E189" i="38"/>
  <c r="G174" i="38"/>
  <c r="G180" i="38" s="1"/>
  <c r="G133" i="38"/>
  <c r="F185" i="38"/>
  <c r="E5" i="3" s="1"/>
  <c r="E26" i="37"/>
  <c r="D39" i="37"/>
  <c r="D44" i="37"/>
  <c r="F187" i="38"/>
  <c r="E16" i="3" s="1"/>
  <c r="G6" i="38"/>
  <c r="H4" i="38"/>
  <c r="J98" i="38"/>
  <c r="F100" i="38"/>
  <c r="L5" i="38"/>
  <c r="J106" i="38"/>
  <c r="I111" i="38"/>
  <c r="J145" i="38"/>
  <c r="K143" i="38"/>
  <c r="J154" i="38"/>
  <c r="I156" i="38"/>
  <c r="H187" i="38"/>
  <c r="G16" i="3" s="1"/>
  <c r="H122" i="38"/>
  <c r="I120" i="38"/>
  <c r="L109" i="38"/>
  <c r="C46" i="37"/>
  <c r="F33" i="37"/>
  <c r="G22" i="10" s="1"/>
  <c r="F21" i="37"/>
  <c r="G5" i="10" s="1"/>
  <c r="H19" i="37"/>
  <c r="G20" i="37"/>
  <c r="C50" i="37"/>
  <c r="C34" i="37"/>
  <c r="C35" i="37"/>
  <c r="C41" i="37"/>
  <c r="D13" i="4" s="1"/>
  <c r="AG34" i="36"/>
  <c r="AF34" i="36"/>
  <c r="AE34" i="36"/>
  <c r="AD34" i="36"/>
  <c r="AC34" i="36"/>
  <c r="AB34" i="36"/>
  <c r="AA34" i="36"/>
  <c r="Z34" i="36"/>
  <c r="Y34" i="36"/>
  <c r="X34" i="36"/>
  <c r="W34" i="36"/>
  <c r="V34" i="36"/>
  <c r="U34" i="36"/>
  <c r="T34" i="36"/>
  <c r="S34" i="36"/>
  <c r="R34" i="36"/>
  <c r="Q34" i="36"/>
  <c r="P34" i="36"/>
  <c r="O34" i="36"/>
  <c r="N34" i="36"/>
  <c r="M34" i="36"/>
  <c r="L34" i="36"/>
  <c r="K34" i="36"/>
  <c r="J34" i="36"/>
  <c r="I34" i="36"/>
  <c r="H34" i="36"/>
  <c r="G34" i="36"/>
  <c r="F34" i="36"/>
  <c r="E34" i="36"/>
  <c r="D34" i="36"/>
  <c r="AG33" i="36"/>
  <c r="AF33" i="36"/>
  <c r="AE33" i="36"/>
  <c r="AD33" i="36"/>
  <c r="AC33" i="36"/>
  <c r="AB33" i="36"/>
  <c r="AA33" i="36"/>
  <c r="Z33" i="36"/>
  <c r="Y33" i="36"/>
  <c r="X33" i="36"/>
  <c r="W33" i="36"/>
  <c r="V33" i="36"/>
  <c r="U33" i="36"/>
  <c r="T33" i="36"/>
  <c r="S33" i="36"/>
  <c r="R33" i="36"/>
  <c r="Q33" i="36"/>
  <c r="P33" i="36"/>
  <c r="O33" i="36"/>
  <c r="N33" i="36"/>
  <c r="M33" i="36"/>
  <c r="L33" i="36"/>
  <c r="K33" i="36"/>
  <c r="J33" i="36"/>
  <c r="I33" i="36"/>
  <c r="H33" i="36"/>
  <c r="G33" i="36"/>
  <c r="F33" i="36"/>
  <c r="E33" i="36"/>
  <c r="D33" i="36"/>
  <c r="AG32" i="36"/>
  <c r="AF32" i="36"/>
  <c r="AE32" i="36"/>
  <c r="AD32" i="36"/>
  <c r="AC32" i="36"/>
  <c r="AB32" i="36"/>
  <c r="AA32" i="36"/>
  <c r="Z32" i="36"/>
  <c r="Y32" i="36"/>
  <c r="X32" i="36"/>
  <c r="W32" i="36"/>
  <c r="V32" i="36"/>
  <c r="U32" i="36"/>
  <c r="T32" i="36"/>
  <c r="S32" i="36"/>
  <c r="R32" i="36"/>
  <c r="Q32" i="36"/>
  <c r="P32" i="36"/>
  <c r="O32" i="36"/>
  <c r="N32" i="36"/>
  <c r="M32" i="36"/>
  <c r="L32" i="36"/>
  <c r="K32" i="36"/>
  <c r="J32" i="36"/>
  <c r="I32" i="36"/>
  <c r="H32" i="36"/>
  <c r="G32" i="36"/>
  <c r="F32" i="36"/>
  <c r="E32" i="36"/>
  <c r="D32" i="36"/>
  <c r="AG29" i="36"/>
  <c r="AF29" i="36"/>
  <c r="AE29" i="36"/>
  <c r="AD29" i="36"/>
  <c r="AC29" i="36"/>
  <c r="AB29" i="36"/>
  <c r="AA29" i="36"/>
  <c r="Z29" i="36"/>
  <c r="Y29" i="36"/>
  <c r="X29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G29" i="36"/>
  <c r="F29" i="36"/>
  <c r="E29" i="36"/>
  <c r="D29" i="36"/>
  <c r="E11" i="36"/>
  <c r="E4" i="36"/>
  <c r="R4" i="35"/>
  <c r="F11" i="36" l="1"/>
  <c r="D42" i="31"/>
  <c r="D6" i="31"/>
  <c r="D44" i="31"/>
  <c r="D43" i="31"/>
  <c r="D5" i="31"/>
  <c r="D7" i="31"/>
  <c r="G7" i="36"/>
  <c r="G6" i="36"/>
  <c r="E18" i="36"/>
  <c r="E19" i="36"/>
  <c r="E31" i="36" s="1"/>
  <c r="F34" i="37"/>
  <c r="G58" i="40"/>
  <c r="G57" i="40" s="1"/>
  <c r="G23" i="10"/>
  <c r="D6" i="32"/>
  <c r="D5" i="32"/>
  <c r="D7" i="32"/>
  <c r="E68" i="40"/>
  <c r="E61" i="40"/>
  <c r="E62" i="40"/>
  <c r="E63" i="40"/>
  <c r="I48" i="40"/>
  <c r="H50" i="40"/>
  <c r="F6" i="33"/>
  <c r="D42" i="32"/>
  <c r="D41" i="32"/>
  <c r="D40" i="32"/>
  <c r="F5" i="33"/>
  <c r="F54" i="40"/>
  <c r="E44" i="37"/>
  <c r="E45" i="37" s="1"/>
  <c r="E46" i="37" s="1"/>
  <c r="E48" i="37" s="1"/>
  <c r="F6" i="10"/>
  <c r="G51" i="40"/>
  <c r="G52" i="40"/>
  <c r="G53" i="40"/>
  <c r="F58" i="40"/>
  <c r="F57" i="40" s="1"/>
  <c r="F23" i="10"/>
  <c r="D57" i="40"/>
  <c r="F7" i="33"/>
  <c r="J26" i="37"/>
  <c r="K6" i="10" s="1"/>
  <c r="G111" i="38"/>
  <c r="G187" i="38"/>
  <c r="F16" i="3" s="1"/>
  <c r="K18" i="37"/>
  <c r="K24" i="37"/>
  <c r="L17" i="37"/>
  <c r="M5" i="4" s="1"/>
  <c r="D45" i="37"/>
  <c r="F189" i="38"/>
  <c r="G168" i="38"/>
  <c r="G100" i="38"/>
  <c r="G185" i="38"/>
  <c r="H95" i="38"/>
  <c r="H174" i="38"/>
  <c r="H180" i="38" s="1"/>
  <c r="H133" i="38"/>
  <c r="I4" i="38"/>
  <c r="H168" i="38"/>
  <c r="H6" i="38"/>
  <c r="K98" i="38"/>
  <c r="F180" i="38"/>
  <c r="J156" i="38"/>
  <c r="K154" i="38"/>
  <c r="I122" i="38"/>
  <c r="J120" i="38"/>
  <c r="K106" i="38"/>
  <c r="J111" i="38"/>
  <c r="I187" i="38"/>
  <c r="H16" i="3" s="1"/>
  <c r="M109" i="38"/>
  <c r="K145" i="38"/>
  <c r="L143" i="38"/>
  <c r="M5" i="38"/>
  <c r="C38" i="37"/>
  <c r="C51" i="37"/>
  <c r="C39" i="37"/>
  <c r="G21" i="37"/>
  <c r="G30" i="37"/>
  <c r="I19" i="37"/>
  <c r="H20" i="37"/>
  <c r="E50" i="37"/>
  <c r="E51" i="37" s="1"/>
  <c r="E34" i="37"/>
  <c r="E35" i="37"/>
  <c r="E41" i="37"/>
  <c r="F13" i="4" s="1"/>
  <c r="C48" i="37"/>
  <c r="F44" i="37"/>
  <c r="C32" i="36"/>
  <c r="C34" i="36"/>
  <c r="C29" i="36"/>
  <c r="C33" i="36"/>
  <c r="T4" i="35"/>
  <c r="T14" i="35" s="1"/>
  <c r="S4" i="35"/>
  <c r="S34" i="35" s="1"/>
  <c r="U4" i="35"/>
  <c r="U34" i="35" s="1"/>
  <c r="E28" i="36"/>
  <c r="F4" i="36"/>
  <c r="E16" i="36"/>
  <c r="E40" i="36"/>
  <c r="D16" i="36"/>
  <c r="D28" i="36"/>
  <c r="D40" i="36"/>
  <c r="R34" i="35"/>
  <c r="R24" i="35"/>
  <c r="R14" i="35"/>
  <c r="AC4" i="35"/>
  <c r="V4" i="35"/>
  <c r="V24" i="35" s="1"/>
  <c r="AE4" i="35"/>
  <c r="AE24" i="35" s="1"/>
  <c r="E4" i="35"/>
  <c r="AD4" i="35"/>
  <c r="G4" i="35"/>
  <c r="G34" i="35" s="1"/>
  <c r="H4" i="35"/>
  <c r="H34" i="35" s="1"/>
  <c r="AF4" i="35"/>
  <c r="AF34" i="35" s="1"/>
  <c r="D14" i="35"/>
  <c r="J4" i="35"/>
  <c r="J24" i="35" s="1"/>
  <c r="D24" i="35"/>
  <c r="F4" i="35"/>
  <c r="I4" i="35"/>
  <c r="I24" i="35" s="1"/>
  <c r="AG4" i="35"/>
  <c r="AG24" i="35" s="1"/>
  <c r="Q4" i="35"/>
  <c r="T24" i="35"/>
  <c r="M4" i="35"/>
  <c r="Y4" i="35"/>
  <c r="S24" i="35"/>
  <c r="N4" i="35"/>
  <c r="Z4" i="35"/>
  <c r="S14" i="35"/>
  <c r="U14" i="35"/>
  <c r="O4" i="35"/>
  <c r="AA4" i="35"/>
  <c r="P4" i="35"/>
  <c r="AB4" i="35"/>
  <c r="D34" i="35"/>
  <c r="W4" i="35"/>
  <c r="U24" i="35"/>
  <c r="K4" i="35"/>
  <c r="L4" i="35"/>
  <c r="X4" i="35"/>
  <c r="AG33" i="34"/>
  <c r="AF33" i="34"/>
  <c r="AE33" i="34"/>
  <c r="AD33" i="34"/>
  <c r="AC33" i="34"/>
  <c r="AB33" i="34"/>
  <c r="AA33" i="34"/>
  <c r="Z33" i="34"/>
  <c r="Y33" i="34"/>
  <c r="X33" i="34"/>
  <c r="W33" i="34"/>
  <c r="V33" i="34"/>
  <c r="U33" i="34"/>
  <c r="T33" i="34"/>
  <c r="S33" i="34"/>
  <c r="R33" i="34"/>
  <c r="Q33" i="34"/>
  <c r="P33" i="34"/>
  <c r="O33" i="34"/>
  <c r="N33" i="34"/>
  <c r="M33" i="34"/>
  <c r="L33" i="34"/>
  <c r="K33" i="34"/>
  <c r="J33" i="34"/>
  <c r="I33" i="34"/>
  <c r="H33" i="34"/>
  <c r="G33" i="34"/>
  <c r="F33" i="34"/>
  <c r="E33" i="34"/>
  <c r="D33" i="34"/>
  <c r="AG31" i="34"/>
  <c r="AF31" i="34"/>
  <c r="AE31" i="34"/>
  <c r="AD31" i="34"/>
  <c r="AC31" i="34"/>
  <c r="AB31" i="34"/>
  <c r="AA31" i="34"/>
  <c r="Z31" i="34"/>
  <c r="Y31" i="34"/>
  <c r="X31" i="34"/>
  <c r="W31" i="34"/>
  <c r="V31" i="34"/>
  <c r="U31" i="34"/>
  <c r="T31" i="34"/>
  <c r="S31" i="34"/>
  <c r="R31" i="34"/>
  <c r="Q31" i="34"/>
  <c r="P31" i="34"/>
  <c r="O31" i="34"/>
  <c r="N31" i="34"/>
  <c r="M31" i="34"/>
  <c r="L31" i="34"/>
  <c r="K31" i="34"/>
  <c r="J31" i="34"/>
  <c r="I31" i="34"/>
  <c r="H31" i="34"/>
  <c r="G31" i="34"/>
  <c r="F31" i="34"/>
  <c r="E31" i="34"/>
  <c r="D31" i="34"/>
  <c r="AG12" i="34"/>
  <c r="AF12" i="34"/>
  <c r="AE12" i="34"/>
  <c r="AD12" i="34"/>
  <c r="AC12" i="34"/>
  <c r="AB12" i="34"/>
  <c r="AA12" i="34"/>
  <c r="Z12" i="34"/>
  <c r="Y12" i="34"/>
  <c r="X12" i="34"/>
  <c r="W12" i="34"/>
  <c r="V12" i="34"/>
  <c r="U12" i="34"/>
  <c r="T12" i="34"/>
  <c r="S12" i="34"/>
  <c r="R12" i="34"/>
  <c r="Q12" i="34"/>
  <c r="P12" i="34"/>
  <c r="O12" i="34"/>
  <c r="N12" i="34"/>
  <c r="M12" i="34"/>
  <c r="L12" i="34"/>
  <c r="K12" i="34"/>
  <c r="J12" i="34"/>
  <c r="I12" i="34"/>
  <c r="H12" i="34"/>
  <c r="G12" i="34"/>
  <c r="F12" i="34"/>
  <c r="E12" i="34"/>
  <c r="E4" i="34"/>
  <c r="D4" i="33"/>
  <c r="E8" i="33"/>
  <c r="D8" i="33"/>
  <c r="F42" i="31" l="1"/>
  <c r="F7" i="31"/>
  <c r="F43" i="31"/>
  <c r="F44" i="31"/>
  <c r="F5" i="31"/>
  <c r="F6" i="31"/>
  <c r="G6" i="31"/>
  <c r="G42" i="31"/>
  <c r="G43" i="31"/>
  <c r="G44" i="31"/>
  <c r="G5" i="31"/>
  <c r="G7" i="31"/>
  <c r="F8" i="33"/>
  <c r="G11" i="36"/>
  <c r="H7" i="36"/>
  <c r="H6" i="36"/>
  <c r="H11" i="36" s="1"/>
  <c r="E23" i="36"/>
  <c r="E30" i="36"/>
  <c r="E35" i="36" s="1"/>
  <c r="G44" i="37"/>
  <c r="G45" i="37" s="1"/>
  <c r="G46" i="37" s="1"/>
  <c r="G48" i="37" s="1"/>
  <c r="H5" i="10"/>
  <c r="E39" i="37"/>
  <c r="F5" i="32"/>
  <c r="F6" i="32"/>
  <c r="F7" i="32"/>
  <c r="F60" i="40"/>
  <c r="F67" i="40"/>
  <c r="E38" i="37"/>
  <c r="F40" i="32"/>
  <c r="F41" i="32"/>
  <c r="F42" i="32"/>
  <c r="G7" i="33"/>
  <c r="H51" i="40"/>
  <c r="H52" i="40"/>
  <c r="H53" i="40"/>
  <c r="G6" i="33"/>
  <c r="J48" i="40"/>
  <c r="I50" i="40"/>
  <c r="G5" i="33"/>
  <c r="G54" i="40"/>
  <c r="E16" i="33"/>
  <c r="E25" i="33" s="1"/>
  <c r="E71" i="40"/>
  <c r="D60" i="40"/>
  <c r="D67" i="40"/>
  <c r="E15" i="33"/>
  <c r="E24" i="33" s="1"/>
  <c r="E70" i="40"/>
  <c r="G67" i="40"/>
  <c r="G60" i="40"/>
  <c r="E14" i="33"/>
  <c r="E65" i="40"/>
  <c r="E69" i="40"/>
  <c r="G42" i="32"/>
  <c r="G40" i="32"/>
  <c r="G41" i="32"/>
  <c r="V14" i="35"/>
  <c r="T34" i="35"/>
  <c r="G24" i="35"/>
  <c r="G189" i="38"/>
  <c r="F5" i="3"/>
  <c r="M17" i="37"/>
  <c r="N5" i="4" s="1"/>
  <c r="K25" i="37"/>
  <c r="K26" i="37"/>
  <c r="L6" i="10" s="1"/>
  <c r="L18" i="37"/>
  <c r="L24" i="37"/>
  <c r="D46" i="37"/>
  <c r="I174" i="38"/>
  <c r="I180" i="38" s="1"/>
  <c r="H185" i="38"/>
  <c r="I95" i="38"/>
  <c r="H100" i="38"/>
  <c r="I6" i="38"/>
  <c r="J4" i="38"/>
  <c r="L98" i="38"/>
  <c r="L145" i="38"/>
  <c r="M143" i="38"/>
  <c r="N5" i="38"/>
  <c r="N109" i="38"/>
  <c r="L106" i="38"/>
  <c r="K111" i="38"/>
  <c r="L154" i="38"/>
  <c r="K156" i="38"/>
  <c r="I133" i="38"/>
  <c r="J187" i="38"/>
  <c r="I16" i="3" s="1"/>
  <c r="J122" i="38"/>
  <c r="K120" i="38"/>
  <c r="J19" i="37"/>
  <c r="I20" i="37"/>
  <c r="H21" i="37"/>
  <c r="I5" i="10" s="1"/>
  <c r="H30" i="37"/>
  <c r="G33" i="37"/>
  <c r="H22" i="10" s="1"/>
  <c r="F50" i="37"/>
  <c r="F51" i="37" s="1"/>
  <c r="F35" i="37"/>
  <c r="F41" i="37"/>
  <c r="G13" i="4" s="1"/>
  <c r="F45" i="37"/>
  <c r="F46" i="37" s="1"/>
  <c r="I34" i="35"/>
  <c r="D46" i="34"/>
  <c r="C33" i="34"/>
  <c r="C12" i="34"/>
  <c r="I14" i="35"/>
  <c r="D44" i="34"/>
  <c r="C31" i="34"/>
  <c r="AG14" i="35"/>
  <c r="J34" i="35"/>
  <c r="D43" i="34"/>
  <c r="AF14" i="35"/>
  <c r="H14" i="35"/>
  <c r="G14" i="35"/>
  <c r="J14" i="35"/>
  <c r="F16" i="36"/>
  <c r="G4" i="36"/>
  <c r="F40" i="36"/>
  <c r="F28" i="36"/>
  <c r="F34" i="35"/>
  <c r="F24" i="35"/>
  <c r="F14" i="35"/>
  <c r="Q14" i="35"/>
  <c r="Q24" i="35"/>
  <c r="AC14" i="35"/>
  <c r="AC24" i="35"/>
  <c r="AE34" i="35"/>
  <c r="AG34" i="35"/>
  <c r="AD34" i="35"/>
  <c r="AD14" i="35"/>
  <c r="AD24" i="35"/>
  <c r="E14" i="35"/>
  <c r="E24" i="35"/>
  <c r="AC34" i="35"/>
  <c r="V34" i="35"/>
  <c r="Q34" i="35"/>
  <c r="AE14" i="35"/>
  <c r="E34" i="35"/>
  <c r="AF24" i="35"/>
  <c r="H24" i="35"/>
  <c r="Y24" i="35"/>
  <c r="Y14" i="35"/>
  <c r="Y34" i="35"/>
  <c r="M24" i="35"/>
  <c r="M14" i="35"/>
  <c r="M34" i="35"/>
  <c r="N24" i="35"/>
  <c r="N14" i="35"/>
  <c r="N34" i="35"/>
  <c r="X34" i="35"/>
  <c r="X24" i="35"/>
  <c r="X14" i="35"/>
  <c r="L34" i="35"/>
  <c r="L24" i="35"/>
  <c r="L14" i="35"/>
  <c r="K14" i="35"/>
  <c r="K34" i="35"/>
  <c r="K24" i="35"/>
  <c r="AB24" i="35"/>
  <c r="AB14" i="35"/>
  <c r="AB34" i="35"/>
  <c r="P24" i="35"/>
  <c r="P14" i="35"/>
  <c r="P34" i="35"/>
  <c r="AA24" i="35"/>
  <c r="AA14" i="35"/>
  <c r="AA34" i="35"/>
  <c r="W14" i="35"/>
  <c r="W34" i="35"/>
  <c r="W24" i="35"/>
  <c r="O24" i="35"/>
  <c r="O14" i="35"/>
  <c r="O34" i="35"/>
  <c r="Z24" i="35"/>
  <c r="Z14" i="35"/>
  <c r="Z34" i="35"/>
  <c r="D17" i="34"/>
  <c r="D30" i="34"/>
  <c r="E43" i="34"/>
  <c r="E17" i="34"/>
  <c r="F4" i="34"/>
  <c r="E30" i="34"/>
  <c r="AB4" i="33"/>
  <c r="D13" i="33"/>
  <c r="D22" i="33"/>
  <c r="S4" i="33"/>
  <c r="Q4" i="33"/>
  <c r="AE4" i="33"/>
  <c r="H4" i="33"/>
  <c r="E4" i="33"/>
  <c r="R4" i="33"/>
  <c r="T4" i="33"/>
  <c r="AF4" i="33"/>
  <c r="I4" i="33"/>
  <c r="AH4" i="33"/>
  <c r="K4" i="33"/>
  <c r="W4" i="33"/>
  <c r="AI4" i="33"/>
  <c r="F4" i="33"/>
  <c r="L4" i="33"/>
  <c r="AJ4" i="33"/>
  <c r="AK4" i="33"/>
  <c r="AG4" i="33"/>
  <c r="J4" i="33"/>
  <c r="M4" i="33"/>
  <c r="AL4" i="33"/>
  <c r="P4" i="33"/>
  <c r="AC4" i="33"/>
  <c r="AD4" i="33"/>
  <c r="G4" i="33"/>
  <c r="U4" i="33"/>
  <c r="V4" i="33"/>
  <c r="X4" i="33"/>
  <c r="Y4" i="33"/>
  <c r="N4" i="33"/>
  <c r="Z4" i="33"/>
  <c r="O4" i="33"/>
  <c r="AA4" i="33"/>
  <c r="I6" i="36" l="1"/>
  <c r="I7" i="36"/>
  <c r="F19" i="36"/>
  <c r="F31" i="36" s="1"/>
  <c r="F18" i="36"/>
  <c r="D18" i="36"/>
  <c r="D19" i="36"/>
  <c r="D31" i="36" s="1"/>
  <c r="G18" i="36"/>
  <c r="G19" i="36"/>
  <c r="E23" i="33"/>
  <c r="E26" i="33" s="1"/>
  <c r="E14" i="19" s="1"/>
  <c r="E17" i="33"/>
  <c r="K48" i="40"/>
  <c r="J50" i="40"/>
  <c r="H7" i="33"/>
  <c r="H6" i="33"/>
  <c r="H5" i="33"/>
  <c r="H54" i="40"/>
  <c r="G8" i="33"/>
  <c r="D62" i="40"/>
  <c r="D61" i="40"/>
  <c r="D63" i="40"/>
  <c r="D68" i="40"/>
  <c r="F61" i="40"/>
  <c r="F62" i="40"/>
  <c r="F63" i="40"/>
  <c r="F68" i="40"/>
  <c r="G68" i="40"/>
  <c r="G61" i="40"/>
  <c r="G62" i="40"/>
  <c r="G63" i="40"/>
  <c r="F39" i="37"/>
  <c r="G7" i="32"/>
  <c r="G5" i="32"/>
  <c r="G6" i="32"/>
  <c r="H58" i="40"/>
  <c r="H23" i="10"/>
  <c r="E72" i="40"/>
  <c r="I51" i="40"/>
  <c r="I52" i="40"/>
  <c r="I53" i="40"/>
  <c r="H189" i="38"/>
  <c r="G5" i="3"/>
  <c r="L25" i="37"/>
  <c r="L26" i="37"/>
  <c r="M6" i="10" s="1"/>
  <c r="M24" i="37"/>
  <c r="M18" i="37"/>
  <c r="N17" i="37"/>
  <c r="O5" i="4" s="1"/>
  <c r="F38" i="37"/>
  <c r="D48" i="37"/>
  <c r="J174" i="38"/>
  <c r="J180" i="38" s="1"/>
  <c r="J95" i="38"/>
  <c r="I185" i="38"/>
  <c r="I100" i="38"/>
  <c r="I168" i="38"/>
  <c r="K4" i="38"/>
  <c r="J168" i="38"/>
  <c r="J6" i="38"/>
  <c r="M98" i="38"/>
  <c r="N98" i="38" s="1"/>
  <c r="L156" i="38"/>
  <c r="M154" i="38"/>
  <c r="J133" i="38"/>
  <c r="K187" i="38"/>
  <c r="J16" i="3" s="1"/>
  <c r="L120" i="38"/>
  <c r="K122" i="38"/>
  <c r="M106" i="38"/>
  <c r="L111" i="38"/>
  <c r="N143" i="38"/>
  <c r="M145" i="38"/>
  <c r="O5" i="38"/>
  <c r="O109" i="38"/>
  <c r="F48" i="37"/>
  <c r="H44" i="37"/>
  <c r="H45" i="37" s="1"/>
  <c r="G35" i="37"/>
  <c r="G50" i="37"/>
  <c r="G34" i="37"/>
  <c r="G41" i="37"/>
  <c r="H13" i="4" s="1"/>
  <c r="I30" i="37"/>
  <c r="I21" i="37"/>
  <c r="H33" i="37"/>
  <c r="I22" i="10" s="1"/>
  <c r="K19" i="37"/>
  <c r="J20" i="37"/>
  <c r="H4" i="36"/>
  <c r="G40" i="36"/>
  <c r="G28" i="36"/>
  <c r="G16" i="36"/>
  <c r="F30" i="34"/>
  <c r="F43" i="34"/>
  <c r="F17" i="34"/>
  <c r="G4" i="34"/>
  <c r="F13" i="33"/>
  <c r="F22" i="33"/>
  <c r="AC22" i="33"/>
  <c r="AC13" i="33"/>
  <c r="G13" i="33"/>
  <c r="G22" i="33"/>
  <c r="Q22" i="33"/>
  <c r="Q13" i="33"/>
  <c r="P22" i="33"/>
  <c r="P13" i="33"/>
  <c r="AL22" i="33"/>
  <c r="AL13" i="33"/>
  <c r="AH22" i="33"/>
  <c r="AH13" i="33"/>
  <c r="O22" i="33"/>
  <c r="O13" i="33"/>
  <c r="Z22" i="33"/>
  <c r="Z13" i="33"/>
  <c r="J22" i="33"/>
  <c r="J13" i="33"/>
  <c r="AF22" i="33"/>
  <c r="AF13" i="33"/>
  <c r="AE13" i="33"/>
  <c r="AE22" i="33"/>
  <c r="AI22" i="33"/>
  <c r="AI13" i="33"/>
  <c r="K22" i="33"/>
  <c r="K13" i="33"/>
  <c r="M22" i="33"/>
  <c r="M13" i="33"/>
  <c r="AG13" i="33"/>
  <c r="AG22" i="33"/>
  <c r="AK22" i="33"/>
  <c r="AK13" i="33"/>
  <c r="T22" i="33"/>
  <c r="T13" i="33"/>
  <c r="AB22" i="33"/>
  <c r="AB13" i="33"/>
  <c r="AJ22" i="33"/>
  <c r="AJ13" i="33"/>
  <c r="AD22" i="33"/>
  <c r="AD13" i="33"/>
  <c r="S22" i="33"/>
  <c r="S13" i="33"/>
  <c r="Y13" i="33"/>
  <c r="Y22" i="33"/>
  <c r="L13" i="33"/>
  <c r="L22" i="33"/>
  <c r="E22" i="33"/>
  <c r="E13" i="33"/>
  <c r="W22" i="33"/>
  <c r="W13" i="33"/>
  <c r="AA22" i="33"/>
  <c r="AA13" i="33"/>
  <c r="I13" i="33"/>
  <c r="I22" i="33"/>
  <c r="N22" i="33"/>
  <c r="N13" i="33"/>
  <c r="X22" i="33"/>
  <c r="X13" i="33"/>
  <c r="R13" i="33"/>
  <c r="R22" i="33"/>
  <c r="V13" i="33"/>
  <c r="V22" i="33"/>
  <c r="U13" i="33"/>
  <c r="U22" i="33"/>
  <c r="H22" i="33"/>
  <c r="H13" i="33"/>
  <c r="H6" i="31" l="1"/>
  <c r="H42" i="31"/>
  <c r="H7" i="31"/>
  <c r="H43" i="31"/>
  <c r="H44" i="31"/>
  <c r="H5" i="31"/>
  <c r="I11" i="36"/>
  <c r="J7" i="36"/>
  <c r="J6" i="36"/>
  <c r="F30" i="36"/>
  <c r="F35" i="36" s="1"/>
  <c r="F23" i="36"/>
  <c r="D23" i="36"/>
  <c r="D30" i="36"/>
  <c r="D35" i="36" s="1"/>
  <c r="G31" i="36"/>
  <c r="G30" i="36"/>
  <c r="G23" i="36"/>
  <c r="I6" i="33"/>
  <c r="AA9" i="35"/>
  <c r="F16" i="33"/>
  <c r="F25" i="33" s="1"/>
  <c r="F71" i="40"/>
  <c r="D14" i="33"/>
  <c r="D65" i="40"/>
  <c r="D69" i="40"/>
  <c r="S9" i="35"/>
  <c r="Y9" i="35"/>
  <c r="P9" i="35"/>
  <c r="AC9" i="35"/>
  <c r="D9" i="35"/>
  <c r="C5" i="35"/>
  <c r="H8" i="33"/>
  <c r="J53" i="40"/>
  <c r="J51" i="40"/>
  <c r="J52" i="40"/>
  <c r="U9" i="35"/>
  <c r="X9" i="35"/>
  <c r="H7" i="32"/>
  <c r="H5" i="32"/>
  <c r="H6" i="32"/>
  <c r="I5" i="33"/>
  <c r="I54" i="40"/>
  <c r="F15" i="33"/>
  <c r="F24" i="33" s="1"/>
  <c r="F70" i="40"/>
  <c r="D15" i="33"/>
  <c r="D70" i="40"/>
  <c r="K9" i="35"/>
  <c r="I9" i="35"/>
  <c r="H9" i="35"/>
  <c r="E9" i="35"/>
  <c r="AG9" i="35"/>
  <c r="AE9" i="35"/>
  <c r="L48" i="40"/>
  <c r="K50" i="40"/>
  <c r="AL9" i="35"/>
  <c r="G15" i="33"/>
  <c r="G24" i="33" s="1"/>
  <c r="G70" i="40"/>
  <c r="N9" i="35"/>
  <c r="C6" i="35"/>
  <c r="M9" i="35"/>
  <c r="J9" i="35"/>
  <c r="AD9" i="35"/>
  <c r="R9" i="35"/>
  <c r="O9" i="35"/>
  <c r="H57" i="40"/>
  <c r="G14" i="33"/>
  <c r="G65" i="40"/>
  <c r="G69" i="40"/>
  <c r="F9" i="35"/>
  <c r="G9" i="35"/>
  <c r="G16" i="33"/>
  <c r="G25" i="33" s="1"/>
  <c r="G71" i="40"/>
  <c r="AB9" i="35"/>
  <c r="Z9" i="35"/>
  <c r="AH9" i="35"/>
  <c r="W9" i="35"/>
  <c r="I44" i="37"/>
  <c r="I45" i="37" s="1"/>
  <c r="I46" i="37" s="1"/>
  <c r="I48" i="37" s="1"/>
  <c r="J5" i="10"/>
  <c r="AJ9" i="35"/>
  <c r="I58" i="40"/>
  <c r="I57" i="40" s="1"/>
  <c r="I23" i="10"/>
  <c r="F14" i="33"/>
  <c r="F65" i="40"/>
  <c r="F69" i="40"/>
  <c r="C7" i="35"/>
  <c r="Q9" i="35"/>
  <c r="G38" i="37"/>
  <c r="H42" i="32"/>
  <c r="H41" i="32"/>
  <c r="H40" i="32"/>
  <c r="I7" i="33"/>
  <c r="D16" i="33"/>
  <c r="D71" i="40"/>
  <c r="AK9" i="35"/>
  <c r="AI9" i="35"/>
  <c r="T9" i="35"/>
  <c r="AF9" i="35"/>
  <c r="L9" i="35"/>
  <c r="V9" i="35"/>
  <c r="I189" i="38"/>
  <c r="H5" i="3"/>
  <c r="M25" i="37"/>
  <c r="M26" i="37"/>
  <c r="N6" i="10" s="1"/>
  <c r="N24" i="37"/>
  <c r="N18" i="37"/>
  <c r="O17" i="37"/>
  <c r="P5" i="4" s="1"/>
  <c r="G39" i="37"/>
  <c r="J185" i="38"/>
  <c r="K95" i="38"/>
  <c r="J100" i="38"/>
  <c r="K174" i="38"/>
  <c r="K180" i="38" s="1"/>
  <c r="K133" i="38"/>
  <c r="K6" i="38"/>
  <c r="L4" i="38"/>
  <c r="K168" i="38"/>
  <c r="N106" i="38"/>
  <c r="M111" i="38"/>
  <c r="P5" i="38"/>
  <c r="M120" i="38"/>
  <c r="L122" i="38"/>
  <c r="L187" i="38"/>
  <c r="K16" i="3" s="1"/>
  <c r="N145" i="38"/>
  <c r="O143" i="38"/>
  <c r="P109" i="38"/>
  <c r="O98" i="38"/>
  <c r="M156" i="38"/>
  <c r="N154" i="38"/>
  <c r="I33" i="37"/>
  <c r="J22" i="10" s="1"/>
  <c r="H46" i="37"/>
  <c r="K20" i="37"/>
  <c r="L19" i="37"/>
  <c r="G51" i="37"/>
  <c r="J30" i="37"/>
  <c r="J21" i="37"/>
  <c r="H50" i="37"/>
  <c r="H35" i="37"/>
  <c r="H34" i="37"/>
  <c r="H41" i="37"/>
  <c r="I13" i="4" s="1"/>
  <c r="H28" i="36"/>
  <c r="I4" i="36"/>
  <c r="H16" i="36"/>
  <c r="H40" i="36"/>
  <c r="G30" i="34"/>
  <c r="G17" i="34"/>
  <c r="H4" i="34"/>
  <c r="G43" i="34"/>
  <c r="I44" i="31" l="1"/>
  <c r="I5" i="31"/>
  <c r="I42" i="31"/>
  <c r="I43" i="31"/>
  <c r="I7" i="31"/>
  <c r="I6" i="31"/>
  <c r="J11" i="36"/>
  <c r="K7" i="36"/>
  <c r="K6" i="36"/>
  <c r="F72" i="40"/>
  <c r="G35" i="36"/>
  <c r="D25" i="33"/>
  <c r="G17" i="33"/>
  <c r="G23" i="33"/>
  <c r="G26" i="33" s="1"/>
  <c r="G14" i="19" s="1"/>
  <c r="D72" i="40"/>
  <c r="K53" i="40"/>
  <c r="K51" i="40"/>
  <c r="K52" i="40"/>
  <c r="J58" i="40"/>
  <c r="J57" i="40" s="1"/>
  <c r="J23" i="10"/>
  <c r="J44" i="37"/>
  <c r="J45" i="37" s="1"/>
  <c r="J46" i="37" s="1"/>
  <c r="K5" i="10"/>
  <c r="H60" i="40"/>
  <c r="H67" i="40"/>
  <c r="J6" i="33"/>
  <c r="F23" i="33"/>
  <c r="F26" i="33" s="1"/>
  <c r="F14" i="19" s="1"/>
  <c r="F17" i="33"/>
  <c r="M48" i="40"/>
  <c r="L50" i="40"/>
  <c r="I8" i="33"/>
  <c r="J5" i="33"/>
  <c r="J54" i="40"/>
  <c r="D17" i="33"/>
  <c r="D23" i="33"/>
  <c r="H39" i="37"/>
  <c r="I6" i="32"/>
  <c r="I7" i="32"/>
  <c r="I5" i="32"/>
  <c r="J7" i="33"/>
  <c r="I41" i="32"/>
  <c r="I42" i="32"/>
  <c r="I40" i="32"/>
  <c r="D24" i="33"/>
  <c r="I60" i="40"/>
  <c r="I67" i="40"/>
  <c r="G72" i="40"/>
  <c r="C9" i="35"/>
  <c r="J189" i="38"/>
  <c r="I5" i="3"/>
  <c r="O24" i="37"/>
  <c r="O18" i="37"/>
  <c r="N25" i="37"/>
  <c r="N26" i="37"/>
  <c r="O6" i="10" s="1"/>
  <c r="P17" i="37"/>
  <c r="Q5" i="4" s="1"/>
  <c r="H38" i="37"/>
  <c r="H51" i="37"/>
  <c r="L174" i="38"/>
  <c r="L180" i="38" s="1"/>
  <c r="L95" i="38"/>
  <c r="K185" i="38"/>
  <c r="K100" i="38"/>
  <c r="M4" i="38"/>
  <c r="L168" i="38"/>
  <c r="L6" i="38"/>
  <c r="P98" i="38"/>
  <c r="Q5" i="38"/>
  <c r="M122" i="38"/>
  <c r="N120" i="38"/>
  <c r="O106" i="38"/>
  <c r="N111" i="38"/>
  <c r="L133" i="38"/>
  <c r="M187" i="38"/>
  <c r="L16" i="3" s="1"/>
  <c r="O145" i="38"/>
  <c r="P143" i="38"/>
  <c r="Q109" i="38"/>
  <c r="N156" i="38"/>
  <c r="O154" i="38"/>
  <c r="J33" i="37"/>
  <c r="K22" i="10" s="1"/>
  <c r="H48" i="37"/>
  <c r="I34" i="37"/>
  <c r="I50" i="37"/>
  <c r="I51" i="37" s="1"/>
  <c r="I35" i="37"/>
  <c r="I41" i="37"/>
  <c r="J13" i="4" s="1"/>
  <c r="L20" i="37"/>
  <c r="M19" i="37"/>
  <c r="K30" i="37"/>
  <c r="K21" i="37"/>
  <c r="J4" i="36"/>
  <c r="I40" i="36"/>
  <c r="I28" i="36"/>
  <c r="I16" i="36"/>
  <c r="H43" i="34"/>
  <c r="H17" i="34"/>
  <c r="I4" i="34"/>
  <c r="H30" i="34"/>
  <c r="J44" i="31" l="1"/>
  <c r="J5" i="31"/>
  <c r="J6" i="31"/>
  <c r="J42" i="31"/>
  <c r="J7" i="31"/>
  <c r="J43" i="31"/>
  <c r="L6" i="36"/>
  <c r="L7" i="36"/>
  <c r="K11" i="36"/>
  <c r="I18" i="36"/>
  <c r="I19" i="36"/>
  <c r="I31" i="36" s="1"/>
  <c r="H18" i="36"/>
  <c r="H19" i="36"/>
  <c r="K58" i="40"/>
  <c r="K57" i="40" s="1"/>
  <c r="K23" i="10"/>
  <c r="K6" i="33"/>
  <c r="J8" i="33"/>
  <c r="K5" i="33"/>
  <c r="K54" i="40"/>
  <c r="K7" i="33"/>
  <c r="D26" i="33"/>
  <c r="J60" i="40"/>
  <c r="J67" i="40"/>
  <c r="I38" i="37"/>
  <c r="J41" i="32"/>
  <c r="J42" i="32"/>
  <c r="J40" i="32"/>
  <c r="N48" i="40"/>
  <c r="M50" i="40"/>
  <c r="H63" i="40"/>
  <c r="H62" i="40"/>
  <c r="H61" i="40"/>
  <c r="H68" i="40"/>
  <c r="J6" i="32"/>
  <c r="J7" i="32"/>
  <c r="J5" i="32"/>
  <c r="I63" i="40"/>
  <c r="I61" i="40"/>
  <c r="I62" i="40"/>
  <c r="I68" i="40"/>
  <c r="L52" i="40"/>
  <c r="L53" i="40"/>
  <c r="L51" i="40"/>
  <c r="K44" i="37"/>
  <c r="K45" i="37" s="1"/>
  <c r="K46" i="37" s="1"/>
  <c r="K48" i="37" s="1"/>
  <c r="L5" i="10"/>
  <c r="K189" i="38"/>
  <c r="J5" i="3"/>
  <c r="Q17" i="37"/>
  <c r="R5" i="4" s="1"/>
  <c r="P18" i="37"/>
  <c r="P24" i="37"/>
  <c r="O25" i="37"/>
  <c r="O26" i="37"/>
  <c r="P6" i="10" s="1"/>
  <c r="M174" i="38"/>
  <c r="M180" i="38" s="1"/>
  <c r="M133" i="38"/>
  <c r="L185" i="38"/>
  <c r="M95" i="38"/>
  <c r="L100" i="38"/>
  <c r="M168" i="38"/>
  <c r="M6" i="38"/>
  <c r="N4" i="38"/>
  <c r="Q143" i="38"/>
  <c r="P145" i="38"/>
  <c r="R109" i="38"/>
  <c r="R5" i="38"/>
  <c r="O156" i="38"/>
  <c r="P154" i="38"/>
  <c r="P106" i="38"/>
  <c r="O111" i="38"/>
  <c r="O120" i="38"/>
  <c r="N122" i="38"/>
  <c r="N187" i="38"/>
  <c r="M16" i="3" s="1"/>
  <c r="Q98" i="38"/>
  <c r="J48" i="37"/>
  <c r="M20" i="37"/>
  <c r="N19" i="37"/>
  <c r="L21" i="37"/>
  <c r="L30" i="37"/>
  <c r="I39" i="37"/>
  <c r="K33" i="37"/>
  <c r="L22" i="10" s="1"/>
  <c r="J50" i="37"/>
  <c r="J51" i="37" s="1"/>
  <c r="J35" i="37"/>
  <c r="J34" i="37"/>
  <c r="J41" i="37"/>
  <c r="K13" i="4" s="1"/>
  <c r="K4" i="36"/>
  <c r="J40" i="36"/>
  <c r="J28" i="36"/>
  <c r="J16" i="36"/>
  <c r="J4" i="34"/>
  <c r="I30" i="34"/>
  <c r="I43" i="34"/>
  <c r="I17" i="34"/>
  <c r="K43" i="31" l="1"/>
  <c r="K44" i="31"/>
  <c r="K42" i="31"/>
  <c r="K7" i="31"/>
  <c r="K6" i="31"/>
  <c r="K5" i="31"/>
  <c r="M6" i="36"/>
  <c r="M7" i="36"/>
  <c r="L11" i="36"/>
  <c r="H31" i="36"/>
  <c r="H23" i="36"/>
  <c r="H30" i="36"/>
  <c r="J19" i="36"/>
  <c r="J31" i="36" s="1"/>
  <c r="J18" i="36"/>
  <c r="I23" i="36"/>
  <c r="I30" i="36"/>
  <c r="I35" i="36" s="1"/>
  <c r="H15" i="33"/>
  <c r="H70" i="40"/>
  <c r="L7" i="33"/>
  <c r="M52" i="40"/>
  <c r="M53" i="40"/>
  <c r="M51" i="40"/>
  <c r="D14" i="19"/>
  <c r="O48" i="40"/>
  <c r="N50" i="40"/>
  <c r="L6" i="33"/>
  <c r="I15" i="33"/>
  <c r="I24" i="33" s="1"/>
  <c r="I70" i="40"/>
  <c r="H14" i="33"/>
  <c r="H65" i="40"/>
  <c r="H69" i="40"/>
  <c r="K8" i="33"/>
  <c r="L44" i="37"/>
  <c r="L45" i="37" s="1"/>
  <c r="L46" i="37" s="1"/>
  <c r="L48" i="37" s="1"/>
  <c r="M5" i="10"/>
  <c r="I14" i="33"/>
  <c r="I65" i="40"/>
  <c r="I69" i="40"/>
  <c r="J39" i="37"/>
  <c r="K6" i="32"/>
  <c r="K7" i="32"/>
  <c r="K5" i="32"/>
  <c r="I16" i="33"/>
  <c r="I25" i="33" s="1"/>
  <c r="I71" i="40"/>
  <c r="K67" i="40"/>
  <c r="K60" i="40"/>
  <c r="H16" i="33"/>
  <c r="H71" i="40"/>
  <c r="J62" i="40"/>
  <c r="J61" i="40"/>
  <c r="J63" i="40"/>
  <c r="J68" i="40"/>
  <c r="J38" i="37"/>
  <c r="K40" i="32"/>
  <c r="K41" i="32"/>
  <c r="K42" i="32"/>
  <c r="L58" i="40"/>
  <c r="L57" i="40" s="1"/>
  <c r="L23" i="10"/>
  <c r="L5" i="33"/>
  <c r="L54" i="40"/>
  <c r="L189" i="38"/>
  <c r="K5" i="3"/>
  <c r="P25" i="37"/>
  <c r="P26" i="37"/>
  <c r="Q6" i="10" s="1"/>
  <c r="Q18" i="37"/>
  <c r="Q24" i="37"/>
  <c r="R17" i="37"/>
  <c r="S5" i="4" s="1"/>
  <c r="N95" i="38"/>
  <c r="M185" i="38"/>
  <c r="M100" i="38"/>
  <c r="N174" i="38"/>
  <c r="N180" i="38" s="1"/>
  <c r="N133" i="38"/>
  <c r="N168" i="38"/>
  <c r="O4" i="38"/>
  <c r="N6" i="38"/>
  <c r="S5" i="38"/>
  <c r="S109" i="38"/>
  <c r="O122" i="38"/>
  <c r="P120" i="38"/>
  <c r="Q106" i="38"/>
  <c r="P111" i="38"/>
  <c r="O187" i="38"/>
  <c r="N16" i="3" s="1"/>
  <c r="P156" i="38"/>
  <c r="Q154" i="38"/>
  <c r="R98" i="38"/>
  <c r="Q145" i="38"/>
  <c r="R143" i="38"/>
  <c r="O19" i="37"/>
  <c r="N20" i="37"/>
  <c r="M30" i="37"/>
  <c r="M21" i="37"/>
  <c r="L33" i="37"/>
  <c r="M22" i="10" s="1"/>
  <c r="K50" i="37"/>
  <c r="K51" i="37" s="1"/>
  <c r="K34" i="37"/>
  <c r="K35" i="37"/>
  <c r="K41" i="37"/>
  <c r="L13" i="4" s="1"/>
  <c r="L4" i="36"/>
  <c r="K40" i="36"/>
  <c r="K28" i="36"/>
  <c r="K16" i="36"/>
  <c r="J17" i="34"/>
  <c r="K4" i="34"/>
  <c r="J43" i="34"/>
  <c r="J30" i="34"/>
  <c r="L43" i="31" l="1"/>
  <c r="L44" i="31"/>
  <c r="L5" i="31"/>
  <c r="L6" i="31"/>
  <c r="L7" i="31"/>
  <c r="L42" i="31"/>
  <c r="M11" i="36"/>
  <c r="N6" i="36"/>
  <c r="N7" i="36"/>
  <c r="H35" i="36"/>
  <c r="J23" i="36"/>
  <c r="J30" i="36"/>
  <c r="J35" i="36" s="1"/>
  <c r="K19" i="36"/>
  <c r="K31" i="36" s="1"/>
  <c r="K18" i="36"/>
  <c r="I72" i="40"/>
  <c r="J16" i="33"/>
  <c r="J25" i="33" s="1"/>
  <c r="J71" i="40"/>
  <c r="K62" i="40"/>
  <c r="K63" i="40"/>
  <c r="K61" i="40"/>
  <c r="K68" i="40"/>
  <c r="H72" i="40"/>
  <c r="M5" i="33"/>
  <c r="M54" i="40"/>
  <c r="M58" i="40"/>
  <c r="M57" i="40" s="1"/>
  <c r="M23" i="10"/>
  <c r="J14" i="33"/>
  <c r="J65" i="40"/>
  <c r="J69" i="40"/>
  <c r="M7" i="33"/>
  <c r="J15" i="33"/>
  <c r="J24" i="33" s="1"/>
  <c r="J70" i="40"/>
  <c r="I17" i="33"/>
  <c r="I23" i="33"/>
  <c r="I26" i="33" s="1"/>
  <c r="I14" i="19" s="1"/>
  <c r="H17" i="33"/>
  <c r="H23" i="33"/>
  <c r="N51" i="40"/>
  <c r="N52" i="40"/>
  <c r="N53" i="40"/>
  <c r="M6" i="33"/>
  <c r="L8" i="33"/>
  <c r="K39" i="37"/>
  <c r="L5" i="32"/>
  <c r="L6" i="32"/>
  <c r="L7" i="32"/>
  <c r="K38" i="37"/>
  <c r="L40" i="32"/>
  <c r="L41" i="32"/>
  <c r="L42" i="32"/>
  <c r="L67" i="40"/>
  <c r="L60" i="40"/>
  <c r="P48" i="40"/>
  <c r="O50" i="40"/>
  <c r="H25" i="33"/>
  <c r="M44" i="37"/>
  <c r="M45" i="37" s="1"/>
  <c r="M46" i="37" s="1"/>
  <c r="M48" i="37" s="1"/>
  <c r="N5" i="10"/>
  <c r="H24" i="33"/>
  <c r="M189" i="38"/>
  <c r="L5" i="3"/>
  <c r="Q25" i="37"/>
  <c r="Q26" i="37"/>
  <c r="R6" i="10" s="1"/>
  <c r="R18" i="37"/>
  <c r="R24" i="37"/>
  <c r="S17" i="37"/>
  <c r="T5" i="4" s="1"/>
  <c r="O174" i="38"/>
  <c r="O180" i="38" s="1"/>
  <c r="N185" i="38"/>
  <c r="O95" i="38"/>
  <c r="N100" i="38"/>
  <c r="O168" i="38"/>
  <c r="O6" i="38"/>
  <c r="P4" i="38"/>
  <c r="P6" i="38" s="1"/>
  <c r="R106" i="38"/>
  <c r="Q111" i="38"/>
  <c r="R154" i="38"/>
  <c r="Q156" i="38"/>
  <c r="P122" i="38"/>
  <c r="Q120" i="38"/>
  <c r="S98" i="38"/>
  <c r="T109" i="38"/>
  <c r="T5" i="38"/>
  <c r="R145" i="38"/>
  <c r="S143" i="38"/>
  <c r="O133" i="38"/>
  <c r="P187" i="38"/>
  <c r="O16" i="3" s="1"/>
  <c r="O20" i="37"/>
  <c r="P19" i="37"/>
  <c r="M33" i="37"/>
  <c r="N22" i="10" s="1"/>
  <c r="L35" i="37"/>
  <c r="L34" i="37"/>
  <c r="L50" i="37"/>
  <c r="L51" i="37" s="1"/>
  <c r="L41" i="37"/>
  <c r="M13" i="4" s="1"/>
  <c r="N21" i="37"/>
  <c r="N30" i="37"/>
  <c r="L28" i="36"/>
  <c r="M4" i="36"/>
  <c r="L16" i="36"/>
  <c r="L40" i="36"/>
  <c r="K43" i="34"/>
  <c r="K17" i="34"/>
  <c r="K30" i="34"/>
  <c r="L4" i="34"/>
  <c r="M42" i="31" l="1"/>
  <c r="M7" i="31"/>
  <c r="M43" i="31"/>
  <c r="M44" i="31"/>
  <c r="M6" i="31"/>
  <c r="M5" i="31"/>
  <c r="N11" i="36"/>
  <c r="O6" i="36"/>
  <c r="O7" i="36"/>
  <c r="L19" i="36"/>
  <c r="L31" i="36" s="1"/>
  <c r="L18" i="36"/>
  <c r="K23" i="36"/>
  <c r="K30" i="36"/>
  <c r="K35" i="36" s="1"/>
  <c r="N7" i="33"/>
  <c r="J17" i="33"/>
  <c r="J23" i="33"/>
  <c r="J26" i="33" s="1"/>
  <c r="J14" i="19" s="1"/>
  <c r="N6" i="33"/>
  <c r="O51" i="40"/>
  <c r="O52" i="40"/>
  <c r="O53" i="40"/>
  <c r="N5" i="33"/>
  <c r="N54" i="40"/>
  <c r="Q48" i="40"/>
  <c r="P50" i="40"/>
  <c r="L68" i="40"/>
  <c r="L61" i="40"/>
  <c r="L62" i="40"/>
  <c r="L63" i="40"/>
  <c r="M60" i="40"/>
  <c r="M67" i="40"/>
  <c r="K14" i="33"/>
  <c r="K65" i="40"/>
  <c r="K69" i="40"/>
  <c r="H26" i="33"/>
  <c r="K16" i="33"/>
  <c r="K71" i="40"/>
  <c r="K15" i="33"/>
  <c r="K70" i="40"/>
  <c r="L39" i="37"/>
  <c r="M5" i="32"/>
  <c r="M6" i="32"/>
  <c r="M7" i="32"/>
  <c r="J72" i="40"/>
  <c r="M8" i="33"/>
  <c r="N58" i="40"/>
  <c r="N57" i="40" s="1"/>
  <c r="N23" i="10"/>
  <c r="N44" i="37"/>
  <c r="N45" i="37" s="1"/>
  <c r="N46" i="37" s="1"/>
  <c r="N48" i="37" s="1"/>
  <c r="O5" i="10"/>
  <c r="L38" i="37"/>
  <c r="M40" i="32"/>
  <c r="M41" i="32"/>
  <c r="M42" i="32"/>
  <c r="N189" i="38"/>
  <c r="M5" i="3"/>
  <c r="T17" i="37"/>
  <c r="U5" i="4" s="1"/>
  <c r="S24" i="37"/>
  <c r="S18" i="37"/>
  <c r="R25" i="37"/>
  <c r="R26" i="37"/>
  <c r="S6" i="10" s="1"/>
  <c r="O185" i="38"/>
  <c r="O100" i="38"/>
  <c r="P95" i="38"/>
  <c r="P174" i="38"/>
  <c r="P180" i="38" s="1"/>
  <c r="P133" i="38"/>
  <c r="Q4" i="38"/>
  <c r="Q6" i="38" s="1"/>
  <c r="P168" i="38"/>
  <c r="Q187" i="38"/>
  <c r="P16" i="3" s="1"/>
  <c r="Q122" i="38"/>
  <c r="R120" i="38"/>
  <c r="U109" i="38"/>
  <c r="T143" i="38"/>
  <c r="S145" i="38"/>
  <c r="T98" i="38"/>
  <c r="R156" i="38"/>
  <c r="S154" i="38"/>
  <c r="U5" i="38"/>
  <c r="S106" i="38"/>
  <c r="R111" i="38"/>
  <c r="M50" i="37"/>
  <c r="M51" i="37" s="1"/>
  <c r="M34" i="37"/>
  <c r="M35" i="37"/>
  <c r="M41" i="37"/>
  <c r="N13" i="4" s="1"/>
  <c r="N33" i="37"/>
  <c r="O22" i="10" s="1"/>
  <c r="Q19" i="37"/>
  <c r="P20" i="37"/>
  <c r="O21" i="37"/>
  <c r="O30" i="37"/>
  <c r="N4" i="36"/>
  <c r="M40" i="36"/>
  <c r="M28" i="36"/>
  <c r="M16" i="36"/>
  <c r="M4" i="34"/>
  <c r="L30" i="34"/>
  <c r="L17" i="34"/>
  <c r="L43" i="34"/>
  <c r="N42" i="31" l="1"/>
  <c r="N7" i="31"/>
  <c r="N43" i="31"/>
  <c r="N44" i="31"/>
  <c r="N5" i="31"/>
  <c r="N6" i="31"/>
  <c r="O11" i="36"/>
  <c r="P6" i="36"/>
  <c r="P7" i="36"/>
  <c r="L30" i="36"/>
  <c r="L35" i="36" s="1"/>
  <c r="L23" i="36"/>
  <c r="M18" i="36"/>
  <c r="M19" i="36"/>
  <c r="M31" i="36" s="1"/>
  <c r="L16" i="33"/>
  <c r="L25" i="33" s="1"/>
  <c r="L71" i="40"/>
  <c r="O58" i="40"/>
  <c r="O57" i="40" s="1"/>
  <c r="O23" i="10"/>
  <c r="K24" i="33"/>
  <c r="K72" i="40"/>
  <c r="L15" i="33"/>
  <c r="L24" i="33" s="1"/>
  <c r="L70" i="40"/>
  <c r="L14" i="33"/>
  <c r="L65" i="40"/>
  <c r="L69" i="40"/>
  <c r="N8" i="33"/>
  <c r="K17" i="33"/>
  <c r="K23" i="33"/>
  <c r="O7" i="33"/>
  <c r="O44" i="37"/>
  <c r="O45" i="37" s="1"/>
  <c r="O46" i="37" s="1"/>
  <c r="O48" i="37" s="1"/>
  <c r="P5" i="10"/>
  <c r="K25" i="33"/>
  <c r="M61" i="40"/>
  <c r="M62" i="40"/>
  <c r="M63" i="40"/>
  <c r="M68" i="40"/>
  <c r="P51" i="40"/>
  <c r="P53" i="40"/>
  <c r="P52" i="40"/>
  <c r="O6" i="33"/>
  <c r="M39" i="37"/>
  <c r="N5" i="32"/>
  <c r="N6" i="32"/>
  <c r="N7" i="32"/>
  <c r="M38" i="37"/>
  <c r="N40" i="32"/>
  <c r="N41" i="32"/>
  <c r="N42" i="32"/>
  <c r="R48" i="40"/>
  <c r="Q50" i="40"/>
  <c r="O5" i="33"/>
  <c r="O54" i="40"/>
  <c r="N60" i="40"/>
  <c r="N67" i="40"/>
  <c r="H14" i="19"/>
  <c r="O189" i="38"/>
  <c r="N5" i="3"/>
  <c r="S25" i="37"/>
  <c r="S26" i="37"/>
  <c r="T6" i="10" s="1"/>
  <c r="T18" i="37"/>
  <c r="T24" i="37"/>
  <c r="U17" i="37"/>
  <c r="V5" i="4" s="1"/>
  <c r="Q174" i="38"/>
  <c r="Q180" i="38" s="1"/>
  <c r="R4" i="38"/>
  <c r="Q168" i="38"/>
  <c r="P185" i="38"/>
  <c r="Q95" i="38"/>
  <c r="P100" i="38"/>
  <c r="T106" i="38"/>
  <c r="S111" i="38"/>
  <c r="T145" i="38"/>
  <c r="U143" i="38"/>
  <c r="Q133" i="38"/>
  <c r="R187" i="38"/>
  <c r="Q16" i="3" s="1"/>
  <c r="V5" i="38"/>
  <c r="V109" i="38"/>
  <c r="R122" i="38"/>
  <c r="S120" i="38"/>
  <c r="U98" i="38"/>
  <c r="R168" i="38"/>
  <c r="T154" i="38"/>
  <c r="S156" i="38"/>
  <c r="R19" i="37"/>
  <c r="Q20" i="37"/>
  <c r="N50" i="37"/>
  <c r="N51" i="37" s="1"/>
  <c r="N34" i="37"/>
  <c r="N35" i="37"/>
  <c r="N41" i="37"/>
  <c r="O13" i="4" s="1"/>
  <c r="O33" i="37"/>
  <c r="P22" i="10" s="1"/>
  <c r="P21" i="37"/>
  <c r="P30" i="37"/>
  <c r="O4" i="36"/>
  <c r="N28" i="36"/>
  <c r="N16" i="36"/>
  <c r="N40" i="36"/>
  <c r="N4" i="34"/>
  <c r="M30" i="34"/>
  <c r="M43" i="34"/>
  <c r="M17" i="34"/>
  <c r="O6" i="31" l="1"/>
  <c r="O42" i="31"/>
  <c r="O43" i="31"/>
  <c r="O44" i="31"/>
  <c r="O5" i="31"/>
  <c r="O7" i="31"/>
  <c r="P11" i="36"/>
  <c r="Q7" i="36"/>
  <c r="Q6" i="36"/>
  <c r="M30" i="36"/>
  <c r="M23" i="36"/>
  <c r="K26" i="33"/>
  <c r="K14" i="19" s="1"/>
  <c r="N18" i="36"/>
  <c r="N19" i="36"/>
  <c r="N31" i="36" s="1"/>
  <c r="L72" i="40"/>
  <c r="P44" i="37"/>
  <c r="P45" i="37" s="1"/>
  <c r="P46" i="37" s="1"/>
  <c r="P48" i="37" s="1"/>
  <c r="Q5" i="10"/>
  <c r="M16" i="33"/>
  <c r="M71" i="40"/>
  <c r="M15" i="33"/>
  <c r="M24" i="33" s="1"/>
  <c r="M70" i="40"/>
  <c r="L17" i="33"/>
  <c r="L23" i="33"/>
  <c r="M14" i="33"/>
  <c r="M65" i="40"/>
  <c r="M69" i="40"/>
  <c r="O67" i="40"/>
  <c r="O60" i="40"/>
  <c r="S48" i="40"/>
  <c r="R50" i="40"/>
  <c r="N63" i="40"/>
  <c r="N61" i="40"/>
  <c r="N62" i="40"/>
  <c r="N68" i="40"/>
  <c r="P6" i="33"/>
  <c r="P58" i="40"/>
  <c r="P57" i="40" s="1"/>
  <c r="P23" i="10"/>
  <c r="N39" i="37"/>
  <c r="O5" i="32"/>
  <c r="O6" i="32"/>
  <c r="O7" i="32"/>
  <c r="O8" i="33"/>
  <c r="P7" i="33"/>
  <c r="N38" i="37"/>
  <c r="O42" i="32"/>
  <c r="O40" i="32"/>
  <c r="O41" i="32"/>
  <c r="Q51" i="40"/>
  <c r="Q52" i="40"/>
  <c r="Q53" i="40"/>
  <c r="P5" i="33"/>
  <c r="P54" i="40"/>
  <c r="P189" i="38"/>
  <c r="O5" i="3"/>
  <c r="U24" i="37"/>
  <c r="U18" i="37"/>
  <c r="V17" i="37"/>
  <c r="W5" i="4" s="1"/>
  <c r="T25" i="37"/>
  <c r="T26" i="37"/>
  <c r="U6" i="10" s="1"/>
  <c r="R174" i="38"/>
  <c r="R180" i="38" s="1"/>
  <c r="R6" i="38"/>
  <c r="S4" i="38"/>
  <c r="S168" i="38" s="1"/>
  <c r="R95" i="38"/>
  <c r="Q185" i="38"/>
  <c r="Q100" i="38"/>
  <c r="T156" i="38"/>
  <c r="U154" i="38"/>
  <c r="R133" i="38"/>
  <c r="S187" i="38"/>
  <c r="R16" i="3" s="1"/>
  <c r="S122" i="38"/>
  <c r="T120" i="38"/>
  <c r="V143" i="38"/>
  <c r="U145" i="38"/>
  <c r="W109" i="38"/>
  <c r="V98" i="38"/>
  <c r="W5" i="38"/>
  <c r="U106" i="38"/>
  <c r="T111" i="38"/>
  <c r="P33" i="37"/>
  <c r="Q22" i="10" s="1"/>
  <c r="Q21" i="37"/>
  <c r="Q30" i="37"/>
  <c r="O35" i="37"/>
  <c r="O50" i="37"/>
  <c r="O51" i="37" s="1"/>
  <c r="O34" i="37"/>
  <c r="O41" i="37"/>
  <c r="P13" i="4" s="1"/>
  <c r="S19" i="37"/>
  <c r="R20" i="37"/>
  <c r="O40" i="36"/>
  <c r="O28" i="36"/>
  <c r="O16" i="36"/>
  <c r="P4" i="36"/>
  <c r="O4" i="34"/>
  <c r="N30" i="34"/>
  <c r="N43" i="34"/>
  <c r="N17" i="34"/>
  <c r="P6" i="31" l="1"/>
  <c r="P42" i="31"/>
  <c r="P7" i="31"/>
  <c r="P43" i="31"/>
  <c r="P44" i="31"/>
  <c r="P5" i="31"/>
  <c r="R7" i="36"/>
  <c r="R6" i="36"/>
  <c r="R11" i="36" s="1"/>
  <c r="Q11" i="36"/>
  <c r="O18" i="36"/>
  <c r="O19" i="36"/>
  <c r="O31" i="36" s="1"/>
  <c r="N30" i="36"/>
  <c r="N35" i="36" s="1"/>
  <c r="N23" i="36"/>
  <c r="M35" i="36"/>
  <c r="M72" i="40"/>
  <c r="Q5" i="33"/>
  <c r="Q54" i="40"/>
  <c r="N16" i="33"/>
  <c r="N25" i="33" s="1"/>
  <c r="N71" i="40"/>
  <c r="M17" i="33"/>
  <c r="M23" i="33"/>
  <c r="M25" i="33"/>
  <c r="R53" i="40"/>
  <c r="R51" i="40"/>
  <c r="R52" i="40"/>
  <c r="L26" i="33"/>
  <c r="O39" i="37"/>
  <c r="P7" i="32"/>
  <c r="P5" i="32"/>
  <c r="P6" i="32"/>
  <c r="Q44" i="37"/>
  <c r="Q45" i="37" s="1"/>
  <c r="Q46" i="37" s="1"/>
  <c r="Q48" i="37" s="1"/>
  <c r="R5" i="10"/>
  <c r="T48" i="40"/>
  <c r="S50" i="40"/>
  <c r="Q58" i="40"/>
  <c r="Q57" i="40" s="1"/>
  <c r="Q23" i="10"/>
  <c r="P8" i="33"/>
  <c r="O68" i="40"/>
  <c r="O61" i="40"/>
  <c r="O62" i="40"/>
  <c r="O63" i="40"/>
  <c r="Q7" i="33"/>
  <c r="N15" i="33"/>
  <c r="N70" i="40"/>
  <c r="O38" i="37"/>
  <c r="P41" i="32"/>
  <c r="P42" i="32"/>
  <c r="P40" i="32"/>
  <c r="Q6" i="33"/>
  <c r="P67" i="40"/>
  <c r="P60" i="40"/>
  <c r="N14" i="33"/>
  <c r="N65" i="40"/>
  <c r="N69" i="40"/>
  <c r="Q189" i="38"/>
  <c r="P5" i="3"/>
  <c r="V18" i="37"/>
  <c r="V24" i="37"/>
  <c r="W17" i="37"/>
  <c r="X5" i="4" s="1"/>
  <c r="U25" i="37"/>
  <c r="U26" i="37"/>
  <c r="V6" i="10" s="1"/>
  <c r="S6" i="38"/>
  <c r="S95" i="38"/>
  <c r="R185" i="38"/>
  <c r="R100" i="38"/>
  <c r="S174" i="38"/>
  <c r="S180" i="38" s="1"/>
  <c r="T4" i="38"/>
  <c r="U4" i="38" s="1"/>
  <c r="V106" i="38"/>
  <c r="U111" i="38"/>
  <c r="X5" i="38"/>
  <c r="S133" i="38"/>
  <c r="T187" i="38"/>
  <c r="S16" i="3" s="1"/>
  <c r="V145" i="38"/>
  <c r="W143" i="38"/>
  <c r="W98" i="38"/>
  <c r="V154" i="38"/>
  <c r="U156" i="38"/>
  <c r="X109" i="38"/>
  <c r="U120" i="38"/>
  <c r="T122" i="38"/>
  <c r="Q33" i="37"/>
  <c r="R22" i="10" s="1"/>
  <c r="R21" i="37"/>
  <c r="R30" i="37"/>
  <c r="S20" i="37"/>
  <c r="T19" i="37"/>
  <c r="P50" i="37"/>
  <c r="P51" i="37" s="1"/>
  <c r="P35" i="37"/>
  <c r="P34" i="37"/>
  <c r="P41" i="37"/>
  <c r="Q13" i="4" s="1"/>
  <c r="Q4" i="36"/>
  <c r="P40" i="36"/>
  <c r="P28" i="36"/>
  <c r="P16" i="36"/>
  <c r="O30" i="34"/>
  <c r="O43" i="34"/>
  <c r="O17" i="34"/>
  <c r="P4" i="34"/>
  <c r="Q44" i="31" l="1"/>
  <c r="Q5" i="31"/>
  <c r="Q42" i="31"/>
  <c r="Q43" i="31"/>
  <c r="Q6" i="31"/>
  <c r="Q7" i="31"/>
  <c r="S7" i="36"/>
  <c r="S6" i="36"/>
  <c r="P18" i="36"/>
  <c r="P19" i="36"/>
  <c r="P31" i="36" s="1"/>
  <c r="O30" i="36"/>
  <c r="O35" i="36" s="1"/>
  <c r="O23" i="36"/>
  <c r="N72" i="40"/>
  <c r="P68" i="40"/>
  <c r="P63" i="40"/>
  <c r="P61" i="40"/>
  <c r="P62" i="40"/>
  <c r="N24" i="33"/>
  <c r="P38" i="37"/>
  <c r="Q41" i="32"/>
  <c r="Q42" i="32"/>
  <c r="Q40" i="32"/>
  <c r="R6" i="33"/>
  <c r="R58" i="40"/>
  <c r="R57" i="40" s="1"/>
  <c r="R23" i="10"/>
  <c r="P39" i="37"/>
  <c r="Q6" i="32"/>
  <c r="Q7" i="32"/>
  <c r="Q5" i="32"/>
  <c r="R5" i="33"/>
  <c r="R54" i="40"/>
  <c r="O16" i="33"/>
  <c r="O71" i="40"/>
  <c r="R7" i="33"/>
  <c r="O14" i="33"/>
  <c r="O65" i="40"/>
  <c r="O69" i="40"/>
  <c r="S53" i="40"/>
  <c r="S51" i="40"/>
  <c r="S52" i="40"/>
  <c r="O15" i="33"/>
  <c r="O24" i="33" s="1"/>
  <c r="O70" i="40"/>
  <c r="Q60" i="40"/>
  <c r="Q67" i="40"/>
  <c r="R44" i="37"/>
  <c r="R45" i="37" s="1"/>
  <c r="R46" i="37" s="1"/>
  <c r="R48" i="37" s="1"/>
  <c r="S5" i="10"/>
  <c r="N17" i="33"/>
  <c r="N23" i="33"/>
  <c r="U48" i="40"/>
  <c r="T50" i="40"/>
  <c r="L14" i="19"/>
  <c r="M26" i="33"/>
  <c r="M14" i="19" s="1"/>
  <c r="Q8" i="33"/>
  <c r="R189" i="38"/>
  <c r="Q5" i="3"/>
  <c r="W24" i="37"/>
  <c r="W18" i="37"/>
  <c r="V25" i="37"/>
  <c r="V26" i="37"/>
  <c r="W6" i="10" s="1"/>
  <c r="X17" i="37"/>
  <c r="Y5" i="4" s="1"/>
  <c r="T6" i="38"/>
  <c r="U174" i="38"/>
  <c r="U180" i="38" s="1"/>
  <c r="T174" i="38"/>
  <c r="T180" i="38" s="1"/>
  <c r="T133" i="38"/>
  <c r="T168" i="38"/>
  <c r="S100" i="38"/>
  <c r="S185" i="38"/>
  <c r="T95" i="38"/>
  <c r="X98" i="38"/>
  <c r="Y109" i="38"/>
  <c r="V156" i="38"/>
  <c r="W154" i="38"/>
  <c r="Y5" i="38"/>
  <c r="W145" i="38"/>
  <c r="X143" i="38"/>
  <c r="U168" i="38"/>
  <c r="V4" i="38"/>
  <c r="U6" i="38"/>
  <c r="U187" i="38"/>
  <c r="T16" i="3" s="1"/>
  <c r="U122" i="38"/>
  <c r="V120" i="38"/>
  <c r="W106" i="38"/>
  <c r="V111" i="38"/>
  <c r="R33" i="37"/>
  <c r="S22" i="10" s="1"/>
  <c r="Q50" i="37"/>
  <c r="Q51" i="37" s="1"/>
  <c r="Q35" i="37"/>
  <c r="Q34" i="37"/>
  <c r="Q41" i="37"/>
  <c r="R13" i="4" s="1"/>
  <c r="T20" i="37"/>
  <c r="U19" i="37"/>
  <c r="S21" i="37"/>
  <c r="S30" i="37"/>
  <c r="R4" i="36"/>
  <c r="Q16" i="36"/>
  <c r="Q28" i="36"/>
  <c r="Q40" i="36"/>
  <c r="P17" i="34"/>
  <c r="P43" i="34"/>
  <c r="Q4" i="34"/>
  <c r="P30" i="34"/>
  <c r="S11" i="36" l="1"/>
  <c r="R44" i="31"/>
  <c r="R5" i="31"/>
  <c r="R6" i="31"/>
  <c r="R42" i="31"/>
  <c r="R7" i="31"/>
  <c r="R43" i="31"/>
  <c r="T6" i="36"/>
  <c r="T7" i="36"/>
  <c r="Q18" i="36"/>
  <c r="Q19" i="36"/>
  <c r="Q31" i="36" s="1"/>
  <c r="P23" i="36"/>
  <c r="P30" i="36"/>
  <c r="P35" i="36" s="1"/>
  <c r="S6" i="33"/>
  <c r="S7" i="33"/>
  <c r="Q38" i="37"/>
  <c r="R40" i="32"/>
  <c r="R41" i="32"/>
  <c r="R42" i="32"/>
  <c r="Q63" i="40"/>
  <c r="Q61" i="40"/>
  <c r="Q62" i="40"/>
  <c r="Q68" i="40"/>
  <c r="O72" i="40"/>
  <c r="P15" i="33"/>
  <c r="P24" i="33" s="1"/>
  <c r="P70" i="40"/>
  <c r="P14" i="33"/>
  <c r="P65" i="40"/>
  <c r="P69" i="40"/>
  <c r="T52" i="40"/>
  <c r="T53" i="40"/>
  <c r="T51" i="40"/>
  <c r="V48" i="40"/>
  <c r="U50" i="40"/>
  <c r="O17" i="33"/>
  <c r="O23" i="33"/>
  <c r="P16" i="33"/>
  <c r="P25" i="33" s="1"/>
  <c r="P71" i="40"/>
  <c r="O25" i="33"/>
  <c r="R8" i="33"/>
  <c r="R60" i="40"/>
  <c r="R67" i="40"/>
  <c r="S58" i="40"/>
  <c r="S57" i="40" s="1"/>
  <c r="S23" i="10"/>
  <c r="N26" i="33"/>
  <c r="N14" i="19" s="1"/>
  <c r="S5" i="33"/>
  <c r="S54" i="40"/>
  <c r="Q39" i="37"/>
  <c r="R6" i="32"/>
  <c r="R7" i="32"/>
  <c r="R5" i="32"/>
  <c r="S44" i="37"/>
  <c r="S45" i="37" s="1"/>
  <c r="S46" i="37" s="1"/>
  <c r="S48" i="37" s="1"/>
  <c r="T5" i="10"/>
  <c r="S189" i="38"/>
  <c r="R5" i="3"/>
  <c r="Y17" i="37"/>
  <c r="Z5" i="4" s="1"/>
  <c r="X24" i="37"/>
  <c r="X18" i="37"/>
  <c r="W25" i="37"/>
  <c r="W26" i="37"/>
  <c r="X6" i="10" s="1"/>
  <c r="V174" i="38"/>
  <c r="V180" i="38" s="1"/>
  <c r="T185" i="38"/>
  <c r="U95" i="38"/>
  <c r="T100" i="38"/>
  <c r="X145" i="38"/>
  <c r="Y143" i="38"/>
  <c r="Z5" i="38"/>
  <c r="X106" i="38"/>
  <c r="W111" i="38"/>
  <c r="V168" i="38"/>
  <c r="W4" i="38"/>
  <c r="V6" i="38"/>
  <c r="W156" i="38"/>
  <c r="X154" i="38"/>
  <c r="Y98" i="38"/>
  <c r="W120" i="38"/>
  <c r="V122" i="38"/>
  <c r="U133" i="38"/>
  <c r="V187" i="38"/>
  <c r="U16" i="3" s="1"/>
  <c r="Z109" i="38"/>
  <c r="U20" i="37"/>
  <c r="V19" i="37"/>
  <c r="S33" i="37"/>
  <c r="T22" i="10" s="1"/>
  <c r="R50" i="37"/>
  <c r="R51" i="37" s="1"/>
  <c r="R34" i="37"/>
  <c r="R35" i="37"/>
  <c r="R41" i="37"/>
  <c r="S13" i="4" s="1"/>
  <c r="T30" i="37"/>
  <c r="T21" i="37"/>
  <c r="R28" i="36"/>
  <c r="R16" i="36"/>
  <c r="S4" i="36"/>
  <c r="R40" i="36"/>
  <c r="Q30" i="34"/>
  <c r="Q43" i="34"/>
  <c r="Q17" i="34"/>
  <c r="R4" i="34"/>
  <c r="S43" i="31" l="1"/>
  <c r="S44" i="31"/>
  <c r="S42" i="31"/>
  <c r="S7" i="31"/>
  <c r="S5" i="31"/>
  <c r="S6" i="31"/>
  <c r="T11" i="36"/>
  <c r="U6" i="36"/>
  <c r="U7" i="36"/>
  <c r="R19" i="36"/>
  <c r="R31" i="36" s="1"/>
  <c r="R18" i="36"/>
  <c r="Q23" i="36"/>
  <c r="Q30" i="36"/>
  <c r="Q35" i="36" s="1"/>
  <c r="P17" i="33"/>
  <c r="P23" i="33"/>
  <c r="P26" i="33" s="1"/>
  <c r="P14" i="19" s="1"/>
  <c r="U52" i="40"/>
  <c r="U53" i="40"/>
  <c r="U51" i="40"/>
  <c r="T44" i="37"/>
  <c r="T45" i="37" s="1"/>
  <c r="T46" i="37" s="1"/>
  <c r="T48" i="37" s="1"/>
  <c r="U5" i="10"/>
  <c r="R38" i="37"/>
  <c r="S40" i="32"/>
  <c r="S41" i="32"/>
  <c r="S42" i="32"/>
  <c r="W48" i="40"/>
  <c r="V50" i="40"/>
  <c r="T5" i="33"/>
  <c r="T54" i="40"/>
  <c r="T7" i="33"/>
  <c r="O26" i="33"/>
  <c r="O14" i="19" s="1"/>
  <c r="Q15" i="33"/>
  <c r="Q24" i="33" s="1"/>
  <c r="Q70" i="40"/>
  <c r="S8" i="33"/>
  <c r="R62" i="40"/>
  <c r="R63" i="40"/>
  <c r="R61" i="40"/>
  <c r="R68" i="40"/>
  <c r="P72" i="40"/>
  <c r="Q14" i="33"/>
  <c r="Q65" i="40"/>
  <c r="Q69" i="40"/>
  <c r="R39" i="37"/>
  <c r="S6" i="32"/>
  <c r="S7" i="32"/>
  <c r="S5" i="32"/>
  <c r="S67" i="40"/>
  <c r="S60" i="40"/>
  <c r="T6" i="33"/>
  <c r="T58" i="40"/>
  <c r="T57" i="40" s="1"/>
  <c r="T23" i="10"/>
  <c r="Q16" i="33"/>
  <c r="Q25" i="33" s="1"/>
  <c r="Q71" i="40"/>
  <c r="T189" i="38"/>
  <c r="S5" i="3"/>
  <c r="Y24" i="37"/>
  <c r="Y18" i="37"/>
  <c r="X25" i="37"/>
  <c r="X26" i="37"/>
  <c r="Y6" i="10" s="1"/>
  <c r="Z17" i="37"/>
  <c r="AA5" i="4" s="1"/>
  <c r="U185" i="38"/>
  <c r="U100" i="38"/>
  <c r="V95" i="38"/>
  <c r="W174" i="38"/>
  <c r="W180" i="38" s="1"/>
  <c r="W187" i="38"/>
  <c r="V16" i="3" s="1"/>
  <c r="V133" i="38"/>
  <c r="AA5" i="38"/>
  <c r="W122" i="38"/>
  <c r="X120" i="38"/>
  <c r="Y145" i="38"/>
  <c r="Z143" i="38"/>
  <c r="AA109" i="38"/>
  <c r="W168" i="38"/>
  <c r="X4" i="38"/>
  <c r="W6" i="38"/>
  <c r="Z98" i="38"/>
  <c r="X156" i="38"/>
  <c r="Y154" i="38"/>
  <c r="Y106" i="38"/>
  <c r="X111" i="38"/>
  <c r="S50" i="37"/>
  <c r="S51" i="37" s="1"/>
  <c r="S34" i="37"/>
  <c r="S35" i="37"/>
  <c r="S41" i="37"/>
  <c r="T13" i="4" s="1"/>
  <c r="W19" i="37"/>
  <c r="V20" i="37"/>
  <c r="T33" i="37"/>
  <c r="U22" i="10" s="1"/>
  <c r="U30" i="37"/>
  <c r="U21" i="37"/>
  <c r="T4" i="36"/>
  <c r="S40" i="36"/>
  <c r="S28" i="36"/>
  <c r="S16" i="36"/>
  <c r="R30" i="34"/>
  <c r="R43" i="34"/>
  <c r="R17" i="34"/>
  <c r="S4" i="34"/>
  <c r="T43" i="31" l="1"/>
  <c r="T44" i="31"/>
  <c r="T5" i="31"/>
  <c r="T6" i="31"/>
  <c r="T7" i="31"/>
  <c r="T42" i="31"/>
  <c r="U11" i="36"/>
  <c r="V6" i="36"/>
  <c r="V7" i="36"/>
  <c r="S19" i="36"/>
  <c r="S31" i="36" s="1"/>
  <c r="S18" i="36"/>
  <c r="R23" i="36"/>
  <c r="R30" i="36"/>
  <c r="R35" i="36" s="1"/>
  <c r="Q72" i="40"/>
  <c r="T8" i="33"/>
  <c r="S62" i="40"/>
  <c r="S63" i="40"/>
  <c r="S61" i="40"/>
  <c r="S68" i="40"/>
  <c r="V51" i="40"/>
  <c r="V52" i="40"/>
  <c r="V53" i="40"/>
  <c r="U5" i="33"/>
  <c r="U54" i="40"/>
  <c r="U44" i="37"/>
  <c r="U45" i="37" s="1"/>
  <c r="U46" i="37" s="1"/>
  <c r="U48" i="37" s="1"/>
  <c r="V5" i="10"/>
  <c r="R14" i="33"/>
  <c r="R65" i="40"/>
  <c r="R69" i="40"/>
  <c r="X48" i="40"/>
  <c r="W50" i="40"/>
  <c r="U7" i="33"/>
  <c r="R16" i="33"/>
  <c r="R25" i="33" s="1"/>
  <c r="R71" i="40"/>
  <c r="U6" i="33"/>
  <c r="Q17" i="33"/>
  <c r="Q23" i="33"/>
  <c r="Q26" i="33" s="1"/>
  <c r="Q14" i="19" s="1"/>
  <c r="S38" i="37"/>
  <c r="T40" i="32"/>
  <c r="T41" i="32"/>
  <c r="T42" i="32"/>
  <c r="U58" i="40"/>
  <c r="U57" i="40" s="1"/>
  <c r="U23" i="10"/>
  <c r="T67" i="40"/>
  <c r="T60" i="40"/>
  <c r="R15" i="33"/>
  <c r="R24" i="33" s="1"/>
  <c r="R70" i="40"/>
  <c r="S39" i="37"/>
  <c r="T5" i="32"/>
  <c r="T6" i="32"/>
  <c r="T7" i="32"/>
  <c r="U189" i="38"/>
  <c r="T5" i="3"/>
  <c r="AA17" i="37"/>
  <c r="AB5" i="4" s="1"/>
  <c r="Z18" i="37"/>
  <c r="Z24" i="37"/>
  <c r="Y25" i="37"/>
  <c r="Y26" i="37"/>
  <c r="Z6" i="10" s="1"/>
  <c r="V185" i="38"/>
  <c r="V100" i="38"/>
  <c r="W95" i="38"/>
  <c r="X174" i="38"/>
  <c r="X180" i="38" s="1"/>
  <c r="AB5" i="38"/>
  <c r="Z106" i="38"/>
  <c r="Y111" i="38"/>
  <c r="Z145" i="38"/>
  <c r="AA143" i="38"/>
  <c r="AB109" i="38"/>
  <c r="AA98" i="38"/>
  <c r="W133" i="38"/>
  <c r="X187" i="38"/>
  <c r="W16" i="3" s="1"/>
  <c r="Z154" i="38"/>
  <c r="Y156" i="38"/>
  <c r="X168" i="38"/>
  <c r="Y4" i="38"/>
  <c r="X6" i="38"/>
  <c r="Y120" i="38"/>
  <c r="X122" i="38"/>
  <c r="T35" i="37"/>
  <c r="T50" i="37"/>
  <c r="T51" i="37" s="1"/>
  <c r="T34" i="37"/>
  <c r="T41" i="37"/>
  <c r="U13" i="4" s="1"/>
  <c r="V21" i="37"/>
  <c r="V30" i="37"/>
  <c r="W20" i="37"/>
  <c r="X19" i="37"/>
  <c r="U33" i="37"/>
  <c r="V22" i="10" s="1"/>
  <c r="T28" i="36"/>
  <c r="T16" i="36"/>
  <c r="U4" i="36"/>
  <c r="T40" i="36"/>
  <c r="S30" i="34"/>
  <c r="T4" i="34"/>
  <c r="S17" i="34"/>
  <c r="S43" i="34"/>
  <c r="U42" i="31" l="1"/>
  <c r="U7" i="31"/>
  <c r="U43" i="31"/>
  <c r="U44" i="31"/>
  <c r="U6" i="31"/>
  <c r="U5" i="31"/>
  <c r="V11" i="36"/>
  <c r="W7" i="36"/>
  <c r="W6" i="36"/>
  <c r="T19" i="36"/>
  <c r="T31" i="36" s="1"/>
  <c r="T18" i="36"/>
  <c r="S23" i="36"/>
  <c r="S30" i="36"/>
  <c r="S35" i="36" s="1"/>
  <c r="R17" i="33"/>
  <c r="R23" i="33"/>
  <c r="R26" i="33" s="1"/>
  <c r="R14" i="19" s="1"/>
  <c r="V6" i="33"/>
  <c r="V5" i="33"/>
  <c r="V54" i="40"/>
  <c r="T68" i="40"/>
  <c r="T61" i="40"/>
  <c r="T62" i="40"/>
  <c r="T63" i="40"/>
  <c r="T39" i="37"/>
  <c r="U5" i="32"/>
  <c r="U6" i="32"/>
  <c r="U7" i="32"/>
  <c r="S14" i="33"/>
  <c r="S65" i="40"/>
  <c r="S69" i="40"/>
  <c r="W51" i="40"/>
  <c r="W52" i="40"/>
  <c r="W53" i="40"/>
  <c r="S16" i="33"/>
  <c r="S25" i="33" s="1"/>
  <c r="S71" i="40"/>
  <c r="Y48" i="40"/>
  <c r="X50" i="40"/>
  <c r="U8" i="33"/>
  <c r="S15" i="33"/>
  <c r="S24" i="33" s="1"/>
  <c r="S70" i="40"/>
  <c r="V44" i="37"/>
  <c r="V45" i="37" s="1"/>
  <c r="V46" i="37" s="1"/>
  <c r="V48" i="37" s="1"/>
  <c r="W5" i="10"/>
  <c r="T38" i="37"/>
  <c r="U40" i="32"/>
  <c r="U41" i="32"/>
  <c r="U42" i="32"/>
  <c r="U60" i="40"/>
  <c r="U67" i="40"/>
  <c r="R72" i="40"/>
  <c r="V58" i="40"/>
  <c r="V57" i="40" s="1"/>
  <c r="V23" i="10"/>
  <c r="V7" i="33"/>
  <c r="V189" i="38"/>
  <c r="U5" i="3"/>
  <c r="AA24" i="37"/>
  <c r="AA18" i="37"/>
  <c r="Z25" i="37"/>
  <c r="Z26" i="37"/>
  <c r="AA6" i="10" s="1"/>
  <c r="AB17" i="37"/>
  <c r="AC5" i="4" s="1"/>
  <c r="W185" i="38"/>
  <c r="W100" i="38"/>
  <c r="X95" i="38"/>
  <c r="Y174" i="38"/>
  <c r="Y180" i="38" s="1"/>
  <c r="Y122" i="38"/>
  <c r="Z120" i="38"/>
  <c r="AB143" i="38"/>
  <c r="AA145" i="38"/>
  <c r="AB98" i="38"/>
  <c r="Y187" i="38"/>
  <c r="X16" i="3" s="1"/>
  <c r="X133" i="38"/>
  <c r="AA106" i="38"/>
  <c r="Z111" i="38"/>
  <c r="AC5" i="38"/>
  <c r="Y168" i="38"/>
  <c r="Z4" i="38"/>
  <c r="Y6" i="38"/>
  <c r="Z156" i="38"/>
  <c r="AA154" i="38"/>
  <c r="AC109" i="38"/>
  <c r="W21" i="37"/>
  <c r="W30" i="37"/>
  <c r="V33" i="37"/>
  <c r="W22" i="10" s="1"/>
  <c r="U50" i="37"/>
  <c r="U51" i="37" s="1"/>
  <c r="U34" i="37"/>
  <c r="U35" i="37"/>
  <c r="U41" i="37"/>
  <c r="V13" i="4" s="1"/>
  <c r="Y19" i="37"/>
  <c r="X20" i="37"/>
  <c r="V4" i="36"/>
  <c r="U40" i="36"/>
  <c r="U28" i="36"/>
  <c r="U16" i="36"/>
  <c r="U4" i="34"/>
  <c r="T17" i="34"/>
  <c r="T30" i="34"/>
  <c r="T43" i="34"/>
  <c r="V42" i="31" l="1"/>
  <c r="V7" i="31"/>
  <c r="V43" i="31"/>
  <c r="V44" i="31"/>
  <c r="V5" i="31"/>
  <c r="V6" i="31"/>
  <c r="W11" i="36"/>
  <c r="X6" i="36"/>
  <c r="X7" i="36"/>
  <c r="U18" i="36"/>
  <c r="U19" i="36"/>
  <c r="U31" i="36" s="1"/>
  <c r="T30" i="36"/>
  <c r="T35" i="36" s="1"/>
  <c r="T23" i="36"/>
  <c r="W7" i="33"/>
  <c r="U61" i="40"/>
  <c r="U62" i="40"/>
  <c r="U63" i="40"/>
  <c r="U68" i="40"/>
  <c r="W58" i="40"/>
  <c r="W57" i="40" s="1"/>
  <c r="W23" i="10"/>
  <c r="W6" i="33"/>
  <c r="V8" i="33"/>
  <c r="U38" i="37"/>
  <c r="V40" i="32"/>
  <c r="V41" i="32"/>
  <c r="V42" i="32"/>
  <c r="X51" i="40"/>
  <c r="X52" i="40"/>
  <c r="X53" i="40"/>
  <c r="W5" i="33"/>
  <c r="W54" i="40"/>
  <c r="Z48" i="40"/>
  <c r="Y50" i="40"/>
  <c r="S72" i="40"/>
  <c r="T16" i="33"/>
  <c r="T25" i="33" s="1"/>
  <c r="T71" i="40"/>
  <c r="U39" i="37"/>
  <c r="V5" i="32"/>
  <c r="V6" i="32"/>
  <c r="V7" i="32"/>
  <c r="W44" i="37"/>
  <c r="W45" i="37" s="1"/>
  <c r="W46" i="37" s="1"/>
  <c r="W48" i="37" s="1"/>
  <c r="X5" i="10"/>
  <c r="V60" i="40"/>
  <c r="V67" i="40"/>
  <c r="T15" i="33"/>
  <c r="T24" i="33" s="1"/>
  <c r="T70" i="40"/>
  <c r="S17" i="33"/>
  <c r="S23" i="33"/>
  <c r="S26" i="33" s="1"/>
  <c r="S14" i="19" s="1"/>
  <c r="T14" i="33"/>
  <c r="T65" i="40"/>
  <c r="T69" i="40"/>
  <c r="W189" i="38"/>
  <c r="V5" i="3"/>
  <c r="AB18" i="37"/>
  <c r="AB24" i="37"/>
  <c r="AC17" i="37"/>
  <c r="AD5" i="4" s="1"/>
  <c r="AA25" i="37"/>
  <c r="AA26" i="37"/>
  <c r="AB6" i="10" s="1"/>
  <c r="Z174" i="38"/>
  <c r="Z180" i="38" s="1"/>
  <c r="X185" i="38"/>
  <c r="X100" i="38"/>
  <c r="Y95" i="38"/>
  <c r="AD5" i="38"/>
  <c r="AD109" i="38"/>
  <c r="Z187" i="38"/>
  <c r="Y16" i="3" s="1"/>
  <c r="Y133" i="38"/>
  <c r="AA4" i="38"/>
  <c r="Z168" i="38"/>
  <c r="Z6" i="38"/>
  <c r="AB106" i="38"/>
  <c r="AA111" i="38"/>
  <c r="AB145" i="38"/>
  <c r="AC143" i="38"/>
  <c r="Z122" i="38"/>
  <c r="AA120" i="38"/>
  <c r="AA156" i="38"/>
  <c r="AB154" i="38"/>
  <c r="AC98" i="38"/>
  <c r="V50" i="37"/>
  <c r="V51" i="37" s="1"/>
  <c r="V34" i="37"/>
  <c r="V35" i="37"/>
  <c r="V41" i="37"/>
  <c r="W13" i="4" s="1"/>
  <c r="W33" i="37"/>
  <c r="X22" i="10" s="1"/>
  <c r="X30" i="37"/>
  <c r="X21" i="37"/>
  <c r="Z19" i="37"/>
  <c r="Y20" i="37"/>
  <c r="W4" i="36"/>
  <c r="V40" i="36"/>
  <c r="V28" i="36"/>
  <c r="V16" i="36"/>
  <c r="U43" i="34"/>
  <c r="U17" i="34"/>
  <c r="V4" i="34"/>
  <c r="U30" i="34"/>
  <c r="W6" i="31" l="1"/>
  <c r="W42" i="31"/>
  <c r="W43" i="31"/>
  <c r="W44" i="31"/>
  <c r="W5" i="31"/>
  <c r="W7" i="31"/>
  <c r="X11" i="36"/>
  <c r="Y7" i="36"/>
  <c r="Y6" i="36"/>
  <c r="V18" i="36"/>
  <c r="V19" i="36"/>
  <c r="V31" i="36" s="1"/>
  <c r="U30" i="36"/>
  <c r="U35" i="36" s="1"/>
  <c r="U23" i="36"/>
  <c r="T72" i="40"/>
  <c r="AA48" i="40"/>
  <c r="Z50" i="40"/>
  <c r="X58" i="40"/>
  <c r="X57" i="40" s="1"/>
  <c r="X23" i="10"/>
  <c r="W67" i="40"/>
  <c r="W60" i="40"/>
  <c r="V61" i="40"/>
  <c r="V62" i="40"/>
  <c r="V63" i="40"/>
  <c r="V68" i="40"/>
  <c r="W8" i="33"/>
  <c r="U16" i="33"/>
  <c r="U25" i="33" s="1"/>
  <c r="U71" i="40"/>
  <c r="U15" i="33"/>
  <c r="U24" i="33" s="1"/>
  <c r="U70" i="40"/>
  <c r="T17" i="33"/>
  <c r="T23" i="33"/>
  <c r="T26" i="33" s="1"/>
  <c r="T14" i="19" s="1"/>
  <c r="V38" i="37"/>
  <c r="W42" i="32"/>
  <c r="W40" i="32"/>
  <c r="W41" i="32"/>
  <c r="X7" i="33"/>
  <c r="U14" i="33"/>
  <c r="U65" i="40"/>
  <c r="U69" i="40"/>
  <c r="V39" i="37"/>
  <c r="W7" i="32"/>
  <c r="W5" i="32"/>
  <c r="W6" i="32"/>
  <c r="X6" i="33"/>
  <c r="X44" i="37"/>
  <c r="X45" i="37" s="1"/>
  <c r="X46" i="37" s="1"/>
  <c r="X48" i="37" s="1"/>
  <c r="Y5" i="10"/>
  <c r="Y51" i="40"/>
  <c r="Y52" i="40"/>
  <c r="Y53" i="40"/>
  <c r="X5" i="33"/>
  <c r="X54" i="40"/>
  <c r="X189" i="38"/>
  <c r="W5" i="3"/>
  <c r="AD17" i="37"/>
  <c r="AE5" i="4" s="1"/>
  <c r="AB25" i="37"/>
  <c r="AB26" i="37"/>
  <c r="AC6" i="10" s="1"/>
  <c r="AC24" i="37"/>
  <c r="AC18" i="37"/>
  <c r="Y185" i="38"/>
  <c r="Y100" i="38"/>
  <c r="Z95" i="38"/>
  <c r="AA174" i="38"/>
  <c r="AA180" i="38" s="1"/>
  <c r="AE109" i="38"/>
  <c r="AB156" i="38"/>
  <c r="AC154" i="38"/>
  <c r="AA122" i="38"/>
  <c r="AB120" i="38"/>
  <c r="AC106" i="38"/>
  <c r="AB111" i="38"/>
  <c r="AA168" i="38"/>
  <c r="AB4" i="38"/>
  <c r="AA6" i="38"/>
  <c r="AE5" i="38"/>
  <c r="AD98" i="38"/>
  <c r="AD143" i="38"/>
  <c r="AC145" i="38"/>
  <c r="Z133" i="38"/>
  <c r="AA187" i="38"/>
  <c r="Z16" i="3" s="1"/>
  <c r="X33" i="37"/>
  <c r="Y22" i="10" s="1"/>
  <c r="W35" i="37"/>
  <c r="W34" i="37"/>
  <c r="W50" i="37"/>
  <c r="W51" i="37" s="1"/>
  <c r="W41" i="37"/>
  <c r="X13" i="4" s="1"/>
  <c r="Y30" i="37"/>
  <c r="Y21" i="37"/>
  <c r="AA19" i="37"/>
  <c r="Z20" i="37"/>
  <c r="X4" i="36"/>
  <c r="W40" i="36"/>
  <c r="W28" i="36"/>
  <c r="W16" i="36"/>
  <c r="V17" i="34"/>
  <c r="V43" i="34"/>
  <c r="W4" i="34"/>
  <c r="V30" i="34"/>
  <c r="X6" i="31" l="1"/>
  <c r="X42" i="31"/>
  <c r="X7" i="31"/>
  <c r="X43" i="31"/>
  <c r="X5" i="31"/>
  <c r="X44" i="31"/>
  <c r="Y11" i="36"/>
  <c r="Z7" i="36"/>
  <c r="Z6" i="36"/>
  <c r="W18" i="36"/>
  <c r="W19" i="36"/>
  <c r="W31" i="36" s="1"/>
  <c r="V23" i="36"/>
  <c r="V30" i="36"/>
  <c r="V35" i="36" s="1"/>
  <c r="U72" i="40"/>
  <c r="Y7" i="33"/>
  <c r="Y44" i="37"/>
  <c r="Y45" i="37" s="1"/>
  <c r="Y46" i="37" s="1"/>
  <c r="Y48" i="37" s="1"/>
  <c r="Z5" i="10"/>
  <c r="Y6" i="33"/>
  <c r="X60" i="40"/>
  <c r="X67" i="40"/>
  <c r="V16" i="33"/>
  <c r="V25" i="33" s="1"/>
  <c r="V71" i="40"/>
  <c r="W38" i="37"/>
  <c r="X42" i="32"/>
  <c r="X40" i="32"/>
  <c r="X41" i="32"/>
  <c r="W39" i="37"/>
  <c r="X7" i="32"/>
  <c r="X5" i="32"/>
  <c r="X6" i="32"/>
  <c r="U17" i="33"/>
  <c r="U23" i="33"/>
  <c r="U26" i="33" s="1"/>
  <c r="U14" i="19" s="1"/>
  <c r="V15" i="33"/>
  <c r="V24" i="33" s="1"/>
  <c r="V70" i="40"/>
  <c r="Z53" i="40"/>
  <c r="Z51" i="40"/>
  <c r="Z52" i="40"/>
  <c r="Y5" i="33"/>
  <c r="Y54" i="40"/>
  <c r="Y58" i="40"/>
  <c r="Y57" i="40" s="1"/>
  <c r="Y23" i="10"/>
  <c r="X8" i="33"/>
  <c r="V14" i="33"/>
  <c r="V65" i="40"/>
  <c r="V69" i="40"/>
  <c r="W61" i="40"/>
  <c r="W62" i="40"/>
  <c r="W63" i="40"/>
  <c r="W68" i="40"/>
  <c r="AB48" i="40"/>
  <c r="AA50" i="40"/>
  <c r="Y189" i="38"/>
  <c r="X5" i="3"/>
  <c r="AC25" i="37"/>
  <c r="AC26" i="37"/>
  <c r="AD6" i="10" s="1"/>
  <c r="AD24" i="37"/>
  <c r="AD18" i="37"/>
  <c r="AE17" i="37"/>
  <c r="AF5" i="4" s="1"/>
  <c r="AB174" i="38"/>
  <c r="AB180" i="38" s="1"/>
  <c r="Z185" i="38"/>
  <c r="AA95" i="38"/>
  <c r="Z100" i="38"/>
  <c r="AD106" i="38"/>
  <c r="AC111" i="38"/>
  <c r="AE143" i="38"/>
  <c r="AD145" i="38"/>
  <c r="AE98" i="38"/>
  <c r="AC120" i="38"/>
  <c r="AB122" i="38"/>
  <c r="AF5" i="38"/>
  <c r="AB168" i="38"/>
  <c r="AC4" i="38"/>
  <c r="AB6" i="38"/>
  <c r="AF109" i="38"/>
  <c r="AA133" i="38"/>
  <c r="AB187" i="38"/>
  <c r="AA16" i="3" s="1"/>
  <c r="AD154" i="38"/>
  <c r="AC156" i="38"/>
  <c r="Z30" i="37"/>
  <c r="Z21" i="37"/>
  <c r="Y33" i="37"/>
  <c r="Z22" i="10" s="1"/>
  <c r="X50" i="37"/>
  <c r="X51" i="37" s="1"/>
  <c r="X35" i="37"/>
  <c r="X34" i="37"/>
  <c r="X41" i="37"/>
  <c r="Y13" i="4" s="1"/>
  <c r="AA20" i="37"/>
  <c r="AB19" i="37"/>
  <c r="Y4" i="36"/>
  <c r="X28" i="36"/>
  <c r="X40" i="36"/>
  <c r="X16" i="36"/>
  <c r="W43" i="34"/>
  <c r="W17" i="34"/>
  <c r="X4" i="34"/>
  <c r="W30" i="34"/>
  <c r="Y44" i="31" l="1"/>
  <c r="Y5" i="31"/>
  <c r="Y42" i="31"/>
  <c r="Y43" i="31"/>
  <c r="Y6" i="31"/>
  <c r="Y7" i="31"/>
  <c r="Z11" i="36"/>
  <c r="AA7" i="36"/>
  <c r="AA6" i="36"/>
  <c r="V72" i="40"/>
  <c r="X18" i="36"/>
  <c r="X19" i="36"/>
  <c r="X31" i="36" s="1"/>
  <c r="W30" i="36"/>
  <c r="W35" i="36" s="1"/>
  <c r="W23" i="36"/>
  <c r="W16" i="33"/>
  <c r="W25" i="33" s="1"/>
  <c r="W71" i="40"/>
  <c r="Z6" i="33"/>
  <c r="Z5" i="33"/>
  <c r="Z54" i="40"/>
  <c r="X63" i="40"/>
  <c r="X61" i="40"/>
  <c r="X62" i="40"/>
  <c r="X68" i="40"/>
  <c r="W14" i="33"/>
  <c r="W65" i="40"/>
  <c r="W69" i="40"/>
  <c r="X39" i="37"/>
  <c r="Y7" i="32"/>
  <c r="Y5" i="32"/>
  <c r="Y6" i="32"/>
  <c r="Z7" i="33"/>
  <c r="Y60" i="40"/>
  <c r="Y67" i="40"/>
  <c r="Z58" i="40"/>
  <c r="Z57" i="40" s="1"/>
  <c r="Z23" i="10"/>
  <c r="AA53" i="40"/>
  <c r="AA51" i="40"/>
  <c r="AA52" i="40"/>
  <c r="AC48" i="40"/>
  <c r="AB50" i="40"/>
  <c r="Y8" i="33"/>
  <c r="X38" i="37"/>
  <c r="Y41" i="32"/>
  <c r="Y42" i="32"/>
  <c r="Y40" i="32"/>
  <c r="W15" i="33"/>
  <c r="W24" i="33" s="1"/>
  <c r="W70" i="40"/>
  <c r="V17" i="33"/>
  <c r="V23" i="33"/>
  <c r="V26" i="33" s="1"/>
  <c r="V14" i="19" s="1"/>
  <c r="Z44" i="37"/>
  <c r="Z45" i="37" s="1"/>
  <c r="Z46" i="37" s="1"/>
  <c r="Z48" i="37" s="1"/>
  <c r="AA5" i="10"/>
  <c r="Z189" i="38"/>
  <c r="Y5" i="3"/>
  <c r="AF17" i="37"/>
  <c r="AG5" i="4" s="1"/>
  <c r="AE24" i="37"/>
  <c r="AE18" i="37"/>
  <c r="AD25" i="37"/>
  <c r="AD26" i="37"/>
  <c r="AE6" i="10" s="1"/>
  <c r="AA185" i="38"/>
  <c r="AB95" i="38"/>
  <c r="AA100" i="38"/>
  <c r="AC174" i="38"/>
  <c r="AC180" i="38" s="1"/>
  <c r="AC122" i="38"/>
  <c r="AD120" i="38"/>
  <c r="AD156" i="38"/>
  <c r="AE154" i="38"/>
  <c r="AC168" i="38"/>
  <c r="AD4" i="38"/>
  <c r="AC6" i="38"/>
  <c r="AF98" i="38"/>
  <c r="AG5" i="38"/>
  <c r="AB133" i="38"/>
  <c r="AC187" i="38"/>
  <c r="AB16" i="3" s="1"/>
  <c r="AE145" i="38"/>
  <c r="AF143" i="38"/>
  <c r="AG109" i="38"/>
  <c r="AE106" i="38"/>
  <c r="AD111" i="38"/>
  <c r="Y34" i="37"/>
  <c r="Y50" i="37"/>
  <c r="Y51" i="37" s="1"/>
  <c r="Y35" i="37"/>
  <c r="Y41" i="37"/>
  <c r="Z13" i="4" s="1"/>
  <c r="AB20" i="37"/>
  <c r="AC19" i="37"/>
  <c r="AA21" i="37"/>
  <c r="AA30" i="37"/>
  <c r="Z33" i="37"/>
  <c r="AA22" i="10" s="1"/>
  <c r="Z4" i="36"/>
  <c r="Y40" i="36"/>
  <c r="Y28" i="36"/>
  <c r="Y16" i="36"/>
  <c r="X30" i="34"/>
  <c r="X17" i="34"/>
  <c r="X43" i="34"/>
  <c r="Y4" i="34"/>
  <c r="Z44" i="31" l="1"/>
  <c r="Z5" i="31"/>
  <c r="Z6" i="31"/>
  <c r="Z42" i="31"/>
  <c r="Z7" i="31"/>
  <c r="Z43" i="31"/>
  <c r="AB6" i="36"/>
  <c r="AB7" i="36"/>
  <c r="AA11" i="36"/>
  <c r="W72" i="40"/>
  <c r="Y18" i="36"/>
  <c r="Y19" i="36"/>
  <c r="Y31" i="36" s="1"/>
  <c r="X23" i="36"/>
  <c r="X30" i="36"/>
  <c r="X35" i="36" s="1"/>
  <c r="Y38" i="37"/>
  <c r="Z41" i="32"/>
  <c r="Z42" i="32"/>
  <c r="Z40" i="32"/>
  <c r="Z60" i="40"/>
  <c r="Z67" i="40"/>
  <c r="X16" i="33"/>
  <c r="X25" i="33" s="1"/>
  <c r="X71" i="40"/>
  <c r="AA44" i="37"/>
  <c r="AA45" i="37" s="1"/>
  <c r="AA46" i="37" s="1"/>
  <c r="AA48" i="37" s="1"/>
  <c r="AB5" i="10"/>
  <c r="AD48" i="40"/>
  <c r="AC50" i="40"/>
  <c r="AA6" i="33"/>
  <c r="Y63" i="40"/>
  <c r="Y61" i="40"/>
  <c r="Y62" i="40"/>
  <c r="Y68" i="40"/>
  <c r="Z8" i="33"/>
  <c r="W17" i="33"/>
  <c r="W23" i="33"/>
  <c r="W26" i="33" s="1"/>
  <c r="W14" i="19" s="1"/>
  <c r="AA7" i="33"/>
  <c r="X15" i="33"/>
  <c r="X24" i="33" s="1"/>
  <c r="X70" i="40"/>
  <c r="AA5" i="33"/>
  <c r="AA54" i="40"/>
  <c r="Y39" i="37"/>
  <c r="Z6" i="32"/>
  <c r="Z7" i="32"/>
  <c r="Z5" i="32"/>
  <c r="AA58" i="40"/>
  <c r="AA57" i="40" s="1"/>
  <c r="AA23" i="10"/>
  <c r="AB52" i="40"/>
  <c r="AB53" i="40"/>
  <c r="AB51" i="40"/>
  <c r="X14" i="33"/>
  <c r="X65" i="40"/>
  <c r="X69" i="40"/>
  <c r="AA189" i="38"/>
  <c r="Z5" i="3"/>
  <c r="AF18" i="37"/>
  <c r="AF24" i="37"/>
  <c r="AE25" i="37"/>
  <c r="AE26" i="37"/>
  <c r="AF6" i="10" s="1"/>
  <c r="AG17" i="37"/>
  <c r="AH5" i="4" s="1"/>
  <c r="AH7" i="4" s="1"/>
  <c r="AB185" i="38"/>
  <c r="AC95" i="38"/>
  <c r="AB100" i="38"/>
  <c r="AD174" i="38"/>
  <c r="AD180" i="38" s="1"/>
  <c r="AE156" i="38"/>
  <c r="AF154" i="38"/>
  <c r="AC133" i="38"/>
  <c r="AD187" i="38"/>
  <c r="AC16" i="3" s="1"/>
  <c r="AF106" i="38"/>
  <c r="AE111" i="38"/>
  <c r="AF145" i="38"/>
  <c r="AG143" i="38"/>
  <c r="AD122" i="38"/>
  <c r="AE120" i="38"/>
  <c r="AH109" i="38"/>
  <c r="AI109" i="38" s="1"/>
  <c r="AH5" i="38"/>
  <c r="AD168" i="38"/>
  <c r="AE4" i="38"/>
  <c r="AD6" i="38"/>
  <c r="AG98" i="38"/>
  <c r="Z50" i="37"/>
  <c r="Z51" i="37" s="1"/>
  <c r="Z35" i="37"/>
  <c r="Z34" i="37"/>
  <c r="Z41" i="37"/>
  <c r="AA13" i="4" s="1"/>
  <c r="AB21" i="37"/>
  <c r="AB30" i="37"/>
  <c r="AC20" i="37"/>
  <c r="AD19" i="37"/>
  <c r="AA33" i="37"/>
  <c r="AB22" i="10" s="1"/>
  <c r="AA4" i="36"/>
  <c r="Z28" i="36"/>
  <c r="Z16" i="36"/>
  <c r="Z40" i="36"/>
  <c r="Z4" i="34"/>
  <c r="Y30" i="34"/>
  <c r="Y43" i="34"/>
  <c r="Y17" i="34"/>
  <c r="AA43" i="31" l="1"/>
  <c r="AA44" i="31"/>
  <c r="AA7" i="31"/>
  <c r="AA42" i="31"/>
  <c r="AA5" i="31"/>
  <c r="AA6" i="31"/>
  <c r="AC6" i="36"/>
  <c r="AC7" i="36"/>
  <c r="AB11" i="36"/>
  <c r="Z19" i="36"/>
  <c r="Z31" i="36" s="1"/>
  <c r="Z18" i="36"/>
  <c r="Y30" i="36"/>
  <c r="Y35" i="36" s="1"/>
  <c r="Y23" i="36"/>
  <c r="AB7" i="33"/>
  <c r="Y14" i="33"/>
  <c r="Y65" i="40"/>
  <c r="Y69" i="40"/>
  <c r="AB6" i="33"/>
  <c r="Y16" i="33"/>
  <c r="Y25" i="33" s="1"/>
  <c r="Y71" i="40"/>
  <c r="X72" i="40"/>
  <c r="AA60" i="40"/>
  <c r="AA67" i="40"/>
  <c r="AA8" i="33"/>
  <c r="AC52" i="40"/>
  <c r="AC53" i="40"/>
  <c r="AC51" i="40"/>
  <c r="Z62" i="40"/>
  <c r="Z63" i="40"/>
  <c r="Z61" i="40"/>
  <c r="Z68" i="40"/>
  <c r="AB44" i="37"/>
  <c r="AB45" i="37" s="1"/>
  <c r="AB46" i="37" s="1"/>
  <c r="AB48" i="37" s="1"/>
  <c r="AC5" i="10"/>
  <c r="Z38" i="37"/>
  <c r="AA40" i="32"/>
  <c r="AA41" i="32"/>
  <c r="AA42" i="32"/>
  <c r="X17" i="33"/>
  <c r="X23" i="33"/>
  <c r="X26" i="33" s="1"/>
  <c r="X14" i="19" s="1"/>
  <c r="AB58" i="40"/>
  <c r="AB57" i="40" s="1"/>
  <c r="AB23" i="10"/>
  <c r="Z39" i="37"/>
  <c r="AA5" i="32"/>
  <c r="AA6" i="32"/>
  <c r="AA7" i="32"/>
  <c r="AB5" i="33"/>
  <c r="AB54" i="40"/>
  <c r="Y15" i="33"/>
  <c r="Y24" i="33" s="1"/>
  <c r="Y70" i="40"/>
  <c r="AE48" i="40"/>
  <c r="AD50" i="40"/>
  <c r="AB189" i="38"/>
  <c r="AA5" i="3"/>
  <c r="AG18" i="37"/>
  <c r="AG24" i="37"/>
  <c r="AH17" i="37"/>
  <c r="AI5" i="4" s="1"/>
  <c r="AI7" i="4" s="1"/>
  <c r="AF25" i="37"/>
  <c r="AF26" i="37"/>
  <c r="AG6" i="10" s="1"/>
  <c r="AI5" i="38"/>
  <c r="AC185" i="38"/>
  <c r="AD95" i="38"/>
  <c r="AC100" i="38"/>
  <c r="AE174" i="38"/>
  <c r="AE180" i="38" s="1"/>
  <c r="AJ109" i="38"/>
  <c r="AF4" i="38"/>
  <c r="AE168" i="38"/>
  <c r="AE6" i="38"/>
  <c r="AG106" i="38"/>
  <c r="AF111" i="38"/>
  <c r="AF156" i="38"/>
  <c r="AG154" i="38"/>
  <c r="AE187" i="38"/>
  <c r="AD16" i="3" s="1"/>
  <c r="AD133" i="38"/>
  <c r="AG145" i="38"/>
  <c r="AH143" i="38"/>
  <c r="AI143" i="38" s="1"/>
  <c r="AE122" i="38"/>
  <c r="AF120" i="38"/>
  <c r="B5" i="38"/>
  <c r="AH98" i="38"/>
  <c r="AI98" i="38" s="1"/>
  <c r="AC30" i="37"/>
  <c r="AC21" i="37"/>
  <c r="AB33" i="37"/>
  <c r="AC22" i="10" s="1"/>
  <c r="AA50" i="37"/>
  <c r="AA51" i="37" s="1"/>
  <c r="AA34" i="37"/>
  <c r="AA35" i="37"/>
  <c r="AA41" i="37"/>
  <c r="AB13" i="4" s="1"/>
  <c r="AE19" i="37"/>
  <c r="AD20" i="37"/>
  <c r="AA40" i="36"/>
  <c r="AA28" i="36"/>
  <c r="AA16" i="36"/>
  <c r="AB4" i="36"/>
  <c r="AA4" i="34"/>
  <c r="Z30" i="34"/>
  <c r="Z43" i="34"/>
  <c r="Z17" i="34"/>
  <c r="AB43" i="31" l="1"/>
  <c r="AB44" i="31"/>
  <c r="AB5" i="31"/>
  <c r="AB6" i="31"/>
  <c r="AB7" i="31"/>
  <c r="AB42" i="31"/>
  <c r="AD6" i="36"/>
  <c r="AD7" i="36"/>
  <c r="AC11" i="36"/>
  <c r="AA19" i="36"/>
  <c r="AA31" i="36" s="1"/>
  <c r="AA18" i="36"/>
  <c r="Z23" i="36"/>
  <c r="Z30" i="36"/>
  <c r="Z35" i="36" s="1"/>
  <c r="AH25" i="24"/>
  <c r="AC6" i="33"/>
  <c r="AB67" i="40"/>
  <c r="AB60" i="40"/>
  <c r="AB8" i="33"/>
  <c r="AD51" i="40"/>
  <c r="AD52" i="40"/>
  <c r="AD53" i="40"/>
  <c r="Z16" i="33"/>
  <c r="Z25" i="33" s="1"/>
  <c r="Z71" i="40"/>
  <c r="Y72" i="40"/>
  <c r="AC44" i="37"/>
  <c r="AC45" i="37" s="1"/>
  <c r="AC46" i="37" s="1"/>
  <c r="AC48" i="37" s="1"/>
  <c r="AD5" i="10"/>
  <c r="Z15" i="33"/>
  <c r="Z24" i="33" s="1"/>
  <c r="Z70" i="40"/>
  <c r="AA62" i="40"/>
  <c r="AA63" i="40"/>
  <c r="AA61" i="40"/>
  <c r="AA68" i="40"/>
  <c r="AA38" i="37"/>
  <c r="AB40" i="32"/>
  <c r="AB41" i="32"/>
  <c r="AB42" i="32"/>
  <c r="AC58" i="40"/>
  <c r="AC57" i="40" s="1"/>
  <c r="AC23" i="10"/>
  <c r="Z14" i="33"/>
  <c r="Z65" i="40"/>
  <c r="Z69" i="40"/>
  <c r="AF48" i="40"/>
  <c r="AE50" i="40"/>
  <c r="AC5" i="33"/>
  <c r="AC54" i="40"/>
  <c r="Y17" i="33"/>
  <c r="Y23" i="33"/>
  <c r="Y26" i="33" s="1"/>
  <c r="Y14" i="19" s="1"/>
  <c r="AA39" i="37"/>
  <c r="AB5" i="32"/>
  <c r="AB6" i="32"/>
  <c r="AB7" i="32"/>
  <c r="AC7" i="33"/>
  <c r="AC189" i="38"/>
  <c r="AB5" i="3"/>
  <c r="AH24" i="37"/>
  <c r="AH18" i="37"/>
  <c r="AI17" i="37"/>
  <c r="AJ5" i="4" s="1"/>
  <c r="AJ7" i="4" s="1"/>
  <c r="AG25" i="37"/>
  <c r="AG26" i="37"/>
  <c r="AH6" i="10" s="1"/>
  <c r="AF174" i="38"/>
  <c r="AF180" i="38" s="1"/>
  <c r="AJ5" i="38"/>
  <c r="AD185" i="38"/>
  <c r="AE95" i="38"/>
  <c r="AD100" i="38"/>
  <c r="AJ143" i="38"/>
  <c r="AI145" i="38"/>
  <c r="AJ98" i="38"/>
  <c r="AK109" i="38"/>
  <c r="AH145" i="38"/>
  <c r="AH106" i="38"/>
  <c r="AI106" i="38" s="1"/>
  <c r="AG111" i="38"/>
  <c r="AG120" i="38"/>
  <c r="AF122" i="38"/>
  <c r="AE133" i="38"/>
  <c r="AF187" i="38"/>
  <c r="AE16" i="3" s="1"/>
  <c r="AH154" i="38"/>
  <c r="AI154" i="38" s="1"/>
  <c r="AG156" i="38"/>
  <c r="AF168" i="38"/>
  <c r="AG4" i="38"/>
  <c r="AF6" i="38"/>
  <c r="AB35" i="37"/>
  <c r="AB50" i="37"/>
  <c r="AB51" i="37" s="1"/>
  <c r="AB34" i="37"/>
  <c r="AB41" i="37"/>
  <c r="AC13" i="4" s="1"/>
  <c r="AD21" i="37"/>
  <c r="AD30" i="37"/>
  <c r="AE20" i="37"/>
  <c r="AF19" i="37"/>
  <c r="AC33" i="37"/>
  <c r="AD22" i="10" s="1"/>
  <c r="AC4" i="36"/>
  <c r="AB40" i="36"/>
  <c r="AB28" i="36"/>
  <c r="AB16" i="36"/>
  <c r="AA43" i="34"/>
  <c r="AA17" i="34"/>
  <c r="AA30" i="34"/>
  <c r="AB4" i="34"/>
  <c r="AC42" i="31" l="1"/>
  <c r="AC7" i="31"/>
  <c r="AC43" i="31"/>
  <c r="AC44" i="31"/>
  <c r="AC6" i="31"/>
  <c r="AC5" i="31"/>
  <c r="AE6" i="36"/>
  <c r="AE7" i="36"/>
  <c r="AD11" i="36"/>
  <c r="AB19" i="36"/>
  <c r="AB31" i="36" s="1"/>
  <c r="AB18" i="36"/>
  <c r="AA23" i="36"/>
  <c r="AA30" i="36"/>
  <c r="AA35" i="36" s="1"/>
  <c r="AH49" i="23"/>
  <c r="AH55" i="23"/>
  <c r="AI25" i="24"/>
  <c r="AH17" i="24"/>
  <c r="AH24" i="24"/>
  <c r="AH26" i="24" s="1"/>
  <c r="Z72" i="40"/>
  <c r="AD5" i="33"/>
  <c r="AD54" i="40"/>
  <c r="AG48" i="40"/>
  <c r="AF50" i="40"/>
  <c r="AD44" i="37"/>
  <c r="AD45" i="37" s="1"/>
  <c r="AD46" i="37" s="1"/>
  <c r="AD48" i="37" s="1"/>
  <c r="AE5" i="10"/>
  <c r="AA14" i="33"/>
  <c r="AA65" i="40"/>
  <c r="AA69" i="40"/>
  <c r="AB68" i="40"/>
  <c r="AB61" i="40"/>
  <c r="AB62" i="40"/>
  <c r="AB63" i="40"/>
  <c r="AB39" i="37"/>
  <c r="AC5" i="32"/>
  <c r="AC6" i="32"/>
  <c r="AC7" i="32"/>
  <c r="Z17" i="33"/>
  <c r="Z23" i="33"/>
  <c r="Z26" i="33" s="1"/>
  <c r="Z14" i="19" s="1"/>
  <c r="AA16" i="33"/>
  <c r="AA25" i="33" s="1"/>
  <c r="AA71" i="40"/>
  <c r="AC8" i="33"/>
  <c r="AA15" i="33"/>
  <c r="AA24" i="33" s="1"/>
  <c r="AA70" i="40"/>
  <c r="AE51" i="40"/>
  <c r="AE52" i="40"/>
  <c r="AE53" i="40"/>
  <c r="AC60" i="40"/>
  <c r="AC67" i="40"/>
  <c r="AD6" i="33"/>
  <c r="AB38" i="37"/>
  <c r="AC40" i="32"/>
  <c r="AC41" i="32"/>
  <c r="AC42" i="32"/>
  <c r="AD58" i="40"/>
  <c r="AD57" i="40" s="1"/>
  <c r="AD23" i="10"/>
  <c r="AD7" i="33"/>
  <c r="AD189" i="38"/>
  <c r="AC5" i="3"/>
  <c r="AF20" i="37"/>
  <c r="AF21" i="37" s="1"/>
  <c r="AG5" i="10" s="1"/>
  <c r="AG19" i="37"/>
  <c r="AI18" i="37"/>
  <c r="AI24" i="37"/>
  <c r="AJ17" i="37"/>
  <c r="AK5" i="4" s="1"/>
  <c r="AK7" i="4" s="1"/>
  <c r="AH26" i="37"/>
  <c r="AI6" i="10" s="1"/>
  <c r="AH25" i="37"/>
  <c r="AG174" i="38"/>
  <c r="AG180" i="38" s="1"/>
  <c r="AK5" i="38"/>
  <c r="AI156" i="38"/>
  <c r="AJ154" i="38"/>
  <c r="AF95" i="38"/>
  <c r="AE100" i="38"/>
  <c r="AE185" i="38"/>
  <c r="AK143" i="38"/>
  <c r="AJ145" i="38"/>
  <c r="AJ106" i="38"/>
  <c r="AI111" i="38"/>
  <c r="AL109" i="38"/>
  <c r="AK98" i="38"/>
  <c r="AG122" i="38"/>
  <c r="AH120" i="38"/>
  <c r="AI120" i="38" s="1"/>
  <c r="AG168" i="38"/>
  <c r="AH4" i="38"/>
  <c r="AG6" i="38"/>
  <c r="AF133" i="38"/>
  <c r="AG187" i="38"/>
  <c r="AF16" i="3" s="1"/>
  <c r="AH111" i="38"/>
  <c r="AH156" i="38"/>
  <c r="AD33" i="37"/>
  <c r="AE22" i="10" s="1"/>
  <c r="AE21" i="37"/>
  <c r="AE30" i="37"/>
  <c r="AC50" i="37"/>
  <c r="AC51" i="37" s="1"/>
  <c r="AC34" i="37"/>
  <c r="AC35" i="37"/>
  <c r="AC41" i="37"/>
  <c r="AD13" i="4" s="1"/>
  <c r="AD4" i="36"/>
  <c r="AC28" i="36"/>
  <c r="AC16" i="36"/>
  <c r="AC40" i="36"/>
  <c r="AB43" i="34"/>
  <c r="AB17" i="34"/>
  <c r="AB30" i="34"/>
  <c r="AC4" i="34"/>
  <c r="AD42" i="31" l="1"/>
  <c r="AD7" i="31"/>
  <c r="AD43" i="31"/>
  <c r="AD44" i="31"/>
  <c r="AD5" i="31"/>
  <c r="AD6" i="31"/>
  <c r="AH66" i="23"/>
  <c r="AH72" i="23" s="1"/>
  <c r="AF7" i="36"/>
  <c r="AF6" i="36"/>
  <c r="AE11" i="36"/>
  <c r="AC18" i="36"/>
  <c r="AC19" i="36"/>
  <c r="AC31" i="36" s="1"/>
  <c r="AB23" i="36"/>
  <c r="AB30" i="36"/>
  <c r="AB35" i="36" s="1"/>
  <c r="AJ25" i="24"/>
  <c r="AI49" i="23"/>
  <c r="AI55" i="23"/>
  <c r="AI17" i="24"/>
  <c r="AI24" i="24"/>
  <c r="AI26" i="24" s="1"/>
  <c r="AB15" i="33"/>
  <c r="AB24" i="33" s="1"/>
  <c r="AB70" i="40"/>
  <c r="AE6" i="33"/>
  <c r="AB14" i="33"/>
  <c r="AB65" i="40"/>
  <c r="AB69" i="40"/>
  <c r="AB16" i="33"/>
  <c r="AB25" i="33" s="1"/>
  <c r="AB71" i="40"/>
  <c r="AD60" i="40"/>
  <c r="AD67" i="40"/>
  <c r="AE44" i="37"/>
  <c r="AE45" i="37" s="1"/>
  <c r="AE46" i="37" s="1"/>
  <c r="AE48" i="37" s="1"/>
  <c r="AF5" i="10"/>
  <c r="AE5" i="33"/>
  <c r="AE54" i="40"/>
  <c r="AF53" i="40"/>
  <c r="AF51" i="40"/>
  <c r="AF52" i="40"/>
  <c r="AA72" i="40"/>
  <c r="AH48" i="40"/>
  <c r="AG50" i="40"/>
  <c r="AA17" i="33"/>
  <c r="AA23" i="33"/>
  <c r="AA26" i="33" s="1"/>
  <c r="AA14" i="19" s="1"/>
  <c r="AE7" i="33"/>
  <c r="AE58" i="40"/>
  <c r="AE57" i="40" s="1"/>
  <c r="AE23" i="10"/>
  <c r="AC39" i="37"/>
  <c r="AD5" i="32"/>
  <c r="AD6" i="32"/>
  <c r="AD7" i="32"/>
  <c r="AC38" i="37"/>
  <c r="AD40" i="32"/>
  <c r="AD41" i="32"/>
  <c r="AD42" i="32"/>
  <c r="AC61" i="40"/>
  <c r="AC62" i="40"/>
  <c r="AC63" i="40"/>
  <c r="AC68" i="40"/>
  <c r="AD8" i="33"/>
  <c r="AE189" i="38"/>
  <c r="AD5" i="3"/>
  <c r="AF30" i="37"/>
  <c r="AF33" i="37" s="1"/>
  <c r="AG22" i="10" s="1"/>
  <c r="AI26" i="37"/>
  <c r="AJ6" i="10" s="1"/>
  <c r="AI25" i="37"/>
  <c r="AJ18" i="37"/>
  <c r="AJ24" i="37"/>
  <c r="AK17" i="37"/>
  <c r="B86" i="37"/>
  <c r="AH19" i="37"/>
  <c r="AG20" i="37"/>
  <c r="AF185" i="38"/>
  <c r="AG95" i="38"/>
  <c r="AF100" i="38"/>
  <c r="AH174" i="38"/>
  <c r="AH180" i="38" s="1"/>
  <c r="AI4" i="38"/>
  <c r="AJ120" i="38"/>
  <c r="AI122" i="38"/>
  <c r="AK154" i="38"/>
  <c r="AJ156" i="38"/>
  <c r="AL5" i="38"/>
  <c r="AL143" i="38"/>
  <c r="AK145" i="38"/>
  <c r="AL98" i="38"/>
  <c r="AM109" i="38"/>
  <c r="AK106" i="38"/>
  <c r="AJ111" i="38"/>
  <c r="B4" i="38"/>
  <c r="AH6" i="38"/>
  <c r="B6" i="38" s="1"/>
  <c r="AH122" i="38"/>
  <c r="AG133" i="38"/>
  <c r="AE33" i="37"/>
  <c r="AF22" i="10" s="1"/>
  <c r="AF44" i="37"/>
  <c r="AD50" i="37"/>
  <c r="AD51" i="37" s="1"/>
  <c r="AD34" i="37"/>
  <c r="AD35" i="37"/>
  <c r="AD41" i="37"/>
  <c r="AE13" i="4" s="1"/>
  <c r="AE4" i="36"/>
  <c r="AD16" i="36"/>
  <c r="AD28" i="36"/>
  <c r="AD40" i="36"/>
  <c r="AC30" i="34"/>
  <c r="AC43" i="34"/>
  <c r="AC17" i="34"/>
  <c r="AD4" i="34"/>
  <c r="AE6" i="31" l="1"/>
  <c r="AE43" i="31"/>
  <c r="AE44" i="31"/>
  <c r="AE5" i="31"/>
  <c r="AE42" i="31"/>
  <c r="AE7" i="31"/>
  <c r="AI66" i="23"/>
  <c r="AI72" i="23" s="1"/>
  <c r="AF11" i="36"/>
  <c r="AG7" i="36"/>
  <c r="AG6" i="36"/>
  <c r="AD18" i="36"/>
  <c r="AD19" i="36"/>
  <c r="AD31" i="36" s="1"/>
  <c r="AC23" i="36"/>
  <c r="AC30" i="36"/>
  <c r="AC35" i="36" s="1"/>
  <c r="AJ24" i="24"/>
  <c r="AJ26" i="24" s="1"/>
  <c r="AJ17" i="24"/>
  <c r="AK25" i="24"/>
  <c r="AJ49" i="23"/>
  <c r="AJ55" i="23"/>
  <c r="AB72" i="40"/>
  <c r="AC14" i="33"/>
  <c r="AC65" i="40"/>
  <c r="AC69" i="40"/>
  <c r="AE60" i="40"/>
  <c r="AE67" i="40"/>
  <c r="AG51" i="40"/>
  <c r="AG52" i="40"/>
  <c r="AG53" i="40"/>
  <c r="AF58" i="40"/>
  <c r="AF57" i="40" s="1"/>
  <c r="AF23" i="10"/>
  <c r="AE8" i="33"/>
  <c r="AH50" i="40"/>
  <c r="AI48" i="40"/>
  <c r="AB17" i="33"/>
  <c r="AB23" i="33"/>
  <c r="AB26" i="33" s="1"/>
  <c r="AB14" i="19" s="1"/>
  <c r="AF6" i="33"/>
  <c r="AG58" i="40"/>
  <c r="AG57" i="40" s="1"/>
  <c r="AG23" i="10"/>
  <c r="AD39" i="37"/>
  <c r="AE7" i="32"/>
  <c r="AE5" i="32"/>
  <c r="AE6" i="32"/>
  <c r="AC16" i="33"/>
  <c r="AC25" i="33" s="1"/>
  <c r="AC71" i="40"/>
  <c r="AF5" i="33"/>
  <c r="AF54" i="40"/>
  <c r="AD61" i="40"/>
  <c r="AD63" i="40"/>
  <c r="AD62" i="40"/>
  <c r="AD68" i="40"/>
  <c r="AD38" i="37"/>
  <c r="AE42" i="32"/>
  <c r="AE40" i="32"/>
  <c r="AE41" i="32"/>
  <c r="AC15" i="33"/>
  <c r="AC24" i="33" s="1"/>
  <c r="AC70" i="40"/>
  <c r="AF7" i="33"/>
  <c r="AL5" i="4"/>
  <c r="B17" i="37"/>
  <c r="AF189" i="38"/>
  <c r="AE5" i="3"/>
  <c r="AK24" i="37"/>
  <c r="AK18" i="37"/>
  <c r="B18" i="37" s="1"/>
  <c r="AI19" i="37"/>
  <c r="AH20" i="37"/>
  <c r="AJ26" i="37"/>
  <c r="AK6" i="10" s="1"/>
  <c r="AJ25" i="37"/>
  <c r="AG30" i="37"/>
  <c r="AG33" i="37" s="1"/>
  <c r="AH22" i="10" s="1"/>
  <c r="AG21" i="37"/>
  <c r="AH5" i="10" s="1"/>
  <c r="AH7" i="10" s="1"/>
  <c r="AF45" i="37"/>
  <c r="AK156" i="38"/>
  <c r="AL154" i="38"/>
  <c r="AG100" i="38"/>
  <c r="AG185" i="38"/>
  <c r="AH95" i="38"/>
  <c r="AJ4" i="38"/>
  <c r="AI174" i="38"/>
  <c r="AI180" i="38" s="1"/>
  <c r="AI168" i="38"/>
  <c r="AI6" i="38"/>
  <c r="AM5" i="38"/>
  <c r="AK120" i="38"/>
  <c r="AJ122" i="38"/>
  <c r="AL145" i="38"/>
  <c r="AM143" i="38"/>
  <c r="AL106" i="38"/>
  <c r="AK111" i="38"/>
  <c r="B109" i="38"/>
  <c r="AM98" i="38"/>
  <c r="AH187" i="38"/>
  <c r="AG16" i="3" s="1"/>
  <c r="AH133" i="38"/>
  <c r="AH168" i="38"/>
  <c r="AF50" i="37"/>
  <c r="AF34" i="37"/>
  <c r="AF35" i="37"/>
  <c r="AF41" i="37"/>
  <c r="AG13" i="4" s="1"/>
  <c r="AE35" i="37"/>
  <c r="AE50" i="37"/>
  <c r="AE51" i="37" s="1"/>
  <c r="AE34" i="37"/>
  <c r="AE41" i="37"/>
  <c r="AF13" i="4" s="1"/>
  <c r="AF4" i="36"/>
  <c r="AE40" i="36"/>
  <c r="AE28" i="36"/>
  <c r="AE16" i="36"/>
  <c r="AD30" i="34"/>
  <c r="AD43" i="34"/>
  <c r="AD17" i="34"/>
  <c r="AE4" i="34"/>
  <c r="AG44" i="31" l="1"/>
  <c r="AG5" i="31"/>
  <c r="AG42" i="31"/>
  <c r="AG43" i="31"/>
  <c r="AG6" i="31"/>
  <c r="AG7" i="31"/>
  <c r="AF6" i="31"/>
  <c r="AF42" i="31"/>
  <c r="AF7" i="31"/>
  <c r="AF43" i="31"/>
  <c r="AF5" i="31"/>
  <c r="AF44" i="31"/>
  <c r="AJ66" i="23"/>
  <c r="AJ72" i="23" s="1"/>
  <c r="AG11" i="36"/>
  <c r="AH7" i="36"/>
  <c r="AH6" i="36"/>
  <c r="AE18" i="36"/>
  <c r="AE19" i="36"/>
  <c r="AE31" i="36" s="1"/>
  <c r="AD30" i="36"/>
  <c r="AD35" i="36" s="1"/>
  <c r="AD23" i="36"/>
  <c r="AK17" i="24"/>
  <c r="AK24" i="24"/>
  <c r="AK26" i="24" s="1"/>
  <c r="AK55" i="23"/>
  <c r="AK49" i="23"/>
  <c r="AE38" i="37"/>
  <c r="AF42" i="32"/>
  <c r="AF40" i="32"/>
  <c r="AF41" i="32"/>
  <c r="AD15" i="33"/>
  <c r="AD24" i="33" s="1"/>
  <c r="AD70" i="40"/>
  <c r="AG6" i="33"/>
  <c r="AG5" i="33"/>
  <c r="AG54" i="40"/>
  <c r="AH53" i="40"/>
  <c r="AH51" i="40"/>
  <c r="AH52" i="40"/>
  <c r="AE39" i="37"/>
  <c r="AF7" i="32"/>
  <c r="AF5" i="32"/>
  <c r="AF6" i="32"/>
  <c r="AE61" i="40"/>
  <c r="AE62" i="40"/>
  <c r="AE63" i="40"/>
  <c r="AE68" i="40"/>
  <c r="AC72" i="40"/>
  <c r="AG7" i="33"/>
  <c r="AD16" i="33"/>
  <c r="AD25" i="33" s="1"/>
  <c r="AD71" i="40"/>
  <c r="AD14" i="33"/>
  <c r="AD65" i="40"/>
  <c r="AD69" i="40"/>
  <c r="AG41" i="32"/>
  <c r="AG42" i="32"/>
  <c r="AG40" i="32"/>
  <c r="AF8" i="33"/>
  <c r="AF67" i="40"/>
  <c r="AF60" i="40"/>
  <c r="AG6" i="32"/>
  <c r="AG7" i="32"/>
  <c r="AG5" i="32"/>
  <c r="AH10" i="10"/>
  <c r="AH8" i="10"/>
  <c r="AH9" i="10"/>
  <c r="AH58" i="40"/>
  <c r="AH57" i="40" s="1"/>
  <c r="AH23" i="10"/>
  <c r="AG60" i="40"/>
  <c r="AG67" i="40"/>
  <c r="AJ48" i="40"/>
  <c r="AI50" i="40"/>
  <c r="AC17" i="33"/>
  <c r="AC23" i="33"/>
  <c r="AC26" i="33" s="1"/>
  <c r="AC14" i="19" s="1"/>
  <c r="C5" i="4"/>
  <c r="AL7" i="4"/>
  <c r="AG189" i="38"/>
  <c r="AF5" i="3"/>
  <c r="AI20" i="37"/>
  <c r="AJ19" i="37"/>
  <c r="AH30" i="37"/>
  <c r="AH33" i="37" s="1"/>
  <c r="AI22" i="10" s="1"/>
  <c r="AH21" i="37"/>
  <c r="AG41" i="37"/>
  <c r="AH13" i="4" s="1"/>
  <c r="AG35" i="37"/>
  <c r="AG50" i="37"/>
  <c r="AG51" i="37" s="1"/>
  <c r="AG34" i="37"/>
  <c r="AG44" i="37"/>
  <c r="AF46" i="37"/>
  <c r="AK25" i="37"/>
  <c r="B25" i="37" s="1"/>
  <c r="AK26" i="37"/>
  <c r="AL6" i="10" s="1"/>
  <c r="C6" i="10" s="1"/>
  <c r="B24" i="37"/>
  <c r="AL156" i="38"/>
  <c r="AM154" i="38"/>
  <c r="AI95" i="38"/>
  <c r="AH100" i="38"/>
  <c r="AH185" i="38"/>
  <c r="AL120" i="38"/>
  <c r="AK122" i="38"/>
  <c r="B131" i="38"/>
  <c r="AJ168" i="38"/>
  <c r="AJ174" i="38"/>
  <c r="AJ180" i="38" s="1"/>
  <c r="AK4" i="38"/>
  <c r="AJ6" i="38"/>
  <c r="AM145" i="38"/>
  <c r="B145" i="38" s="1"/>
  <c r="B143" i="38"/>
  <c r="B98" i="38"/>
  <c r="AM106" i="38"/>
  <c r="AL111" i="38"/>
  <c r="AI133" i="38"/>
  <c r="AI187" i="38"/>
  <c r="AH16" i="3" s="1"/>
  <c r="AF38" i="37"/>
  <c r="AF39" i="37"/>
  <c r="AF51" i="37"/>
  <c r="AG4" i="36"/>
  <c r="AH4" i="36" s="1"/>
  <c r="AF16" i="36"/>
  <c r="AF40" i="36"/>
  <c r="AF28" i="36"/>
  <c r="AE30" i="34"/>
  <c r="AE17" i="34"/>
  <c r="AF4" i="34"/>
  <c r="AE43" i="34"/>
  <c r="AH44" i="31" l="1"/>
  <c r="AH5" i="31"/>
  <c r="AH6" i="31"/>
  <c r="AH24" i="31" s="1"/>
  <c r="AH42" i="31"/>
  <c r="AH7" i="31"/>
  <c r="AH43" i="31"/>
  <c r="AK66" i="23"/>
  <c r="AK72" i="23" s="1"/>
  <c r="AI6" i="36"/>
  <c r="AI7" i="36"/>
  <c r="AH11" i="36"/>
  <c r="AF18" i="36"/>
  <c r="AF19" i="36"/>
  <c r="AF31" i="36" s="1"/>
  <c r="AG18" i="36"/>
  <c r="AG19" i="36"/>
  <c r="AG31" i="36" s="1"/>
  <c r="AE30" i="36"/>
  <c r="AE35" i="36" s="1"/>
  <c r="AE23" i="36"/>
  <c r="AL25" i="24"/>
  <c r="C16" i="24"/>
  <c r="AL17" i="24"/>
  <c r="AL24" i="24"/>
  <c r="C15" i="24"/>
  <c r="AL55" i="23"/>
  <c r="AL49" i="23"/>
  <c r="C44" i="23"/>
  <c r="AG39" i="37"/>
  <c r="AH6" i="32"/>
  <c r="AH24" i="32" s="1"/>
  <c r="AH31" i="32" s="1"/>
  <c r="AH7" i="32"/>
  <c r="AH25" i="32" s="1"/>
  <c r="AH32" i="32" s="1"/>
  <c r="AH5" i="32"/>
  <c r="AH23" i="32" s="1"/>
  <c r="AH30" i="32" s="1"/>
  <c r="AG8" i="33"/>
  <c r="AG63" i="40"/>
  <c r="AG61" i="40"/>
  <c r="AG62" i="40"/>
  <c r="AG68" i="40"/>
  <c r="AD17" i="33"/>
  <c r="AD23" i="33"/>
  <c r="AD26" i="33" s="1"/>
  <c r="AD14" i="19" s="1"/>
  <c r="AE16" i="33"/>
  <c r="AE25" i="33" s="1"/>
  <c r="AE71" i="40"/>
  <c r="AH44" i="37"/>
  <c r="AH45" i="37" s="1"/>
  <c r="AH46" i="37" s="1"/>
  <c r="AH48" i="37" s="1"/>
  <c r="AI5" i="10"/>
  <c r="AI7" i="10" s="1"/>
  <c r="AI58" i="40"/>
  <c r="AI57" i="40" s="1"/>
  <c r="AI23" i="10"/>
  <c r="AH24" i="10"/>
  <c r="AF68" i="40"/>
  <c r="AF63" i="40"/>
  <c r="AF62" i="40"/>
  <c r="AF61" i="40"/>
  <c r="AE15" i="33"/>
  <c r="AE24" i="33" s="1"/>
  <c r="AE70" i="40"/>
  <c r="AH6" i="33"/>
  <c r="AD72" i="40"/>
  <c r="AH60" i="40"/>
  <c r="AH67" i="40"/>
  <c r="AE14" i="33"/>
  <c r="AE65" i="40"/>
  <c r="AE69" i="40"/>
  <c r="AH5" i="33"/>
  <c r="AH54" i="40"/>
  <c r="AH7" i="33"/>
  <c r="AI53" i="40"/>
  <c r="AI51" i="40"/>
  <c r="AI52" i="40"/>
  <c r="AG38" i="37"/>
  <c r="AH60" i="31"/>
  <c r="AH64" i="31" s="1"/>
  <c r="AH70" i="31" s="1"/>
  <c r="AH41" i="32"/>
  <c r="AH59" i="32" s="1"/>
  <c r="AH66" i="32" s="1"/>
  <c r="AH23" i="31"/>
  <c r="AH61" i="31"/>
  <c r="AH65" i="31" s="1"/>
  <c r="AH71" i="31" s="1"/>
  <c r="AH42" i="32"/>
  <c r="AH60" i="32" s="1"/>
  <c r="AH67" i="32" s="1"/>
  <c r="AH62" i="31"/>
  <c r="AH66" i="31" s="1"/>
  <c r="AH72" i="31" s="1"/>
  <c r="AH25" i="31"/>
  <c r="AH40" i="32"/>
  <c r="AH58" i="32" s="1"/>
  <c r="AH65" i="32" s="1"/>
  <c r="AJ50" i="40"/>
  <c r="AK48" i="40"/>
  <c r="AH21" i="4"/>
  <c r="AH23" i="4" s="1"/>
  <c r="AI5" i="7" s="1"/>
  <c r="AH15" i="4"/>
  <c r="AH49" i="6" s="1"/>
  <c r="AH50" i="6" s="1"/>
  <c r="AH189" i="38"/>
  <c r="AG5" i="3"/>
  <c r="AH18" i="3"/>
  <c r="AH21" i="3" s="1"/>
  <c r="AH52" i="6" s="1"/>
  <c r="AH54" i="6" s="1"/>
  <c r="AH41" i="37"/>
  <c r="AI13" i="4" s="1"/>
  <c r="AH35" i="37"/>
  <c r="AH34" i="37"/>
  <c r="AH50" i="37"/>
  <c r="AH51" i="37" s="1"/>
  <c r="AG45" i="37"/>
  <c r="AJ20" i="37"/>
  <c r="AK19" i="37"/>
  <c r="AK20" i="37" s="1"/>
  <c r="AF48" i="37"/>
  <c r="B26" i="37"/>
  <c r="AI30" i="37"/>
  <c r="AI33" i="37" s="1"/>
  <c r="AJ22" i="10" s="1"/>
  <c r="AI21" i="37"/>
  <c r="AJ5" i="10" s="1"/>
  <c r="AJ7" i="10" s="1"/>
  <c r="AJ95" i="38"/>
  <c r="AI100" i="38"/>
  <c r="AI185" i="38"/>
  <c r="AL4" i="38"/>
  <c r="AK168" i="38"/>
  <c r="AK174" i="38"/>
  <c r="AK180" i="38" s="1"/>
  <c r="AK6" i="38"/>
  <c r="AM120" i="38"/>
  <c r="AL122" i="38"/>
  <c r="B166" i="38"/>
  <c r="B178" i="38"/>
  <c r="AM156" i="38"/>
  <c r="B156" i="38" s="1"/>
  <c r="B154" i="38"/>
  <c r="B106" i="38"/>
  <c r="AM111" i="38"/>
  <c r="B111" i="38" s="1"/>
  <c r="AJ133" i="38"/>
  <c r="AJ187" i="38"/>
  <c r="AI16" i="3" s="1"/>
  <c r="AI4" i="36"/>
  <c r="AH16" i="36"/>
  <c r="AH28" i="36"/>
  <c r="AH40" i="36"/>
  <c r="AG40" i="36"/>
  <c r="AG28" i="36"/>
  <c r="AG16" i="36"/>
  <c r="AF17" i="34"/>
  <c r="AF43" i="34"/>
  <c r="AG4" i="34"/>
  <c r="AH4" i="34" s="1"/>
  <c r="AF30" i="34"/>
  <c r="AI43" i="31" l="1"/>
  <c r="AI44" i="31"/>
  <c r="AI42" i="31"/>
  <c r="AI7" i="31"/>
  <c r="AI5" i="31"/>
  <c r="AI23" i="31" s="1"/>
  <c r="AI6" i="31"/>
  <c r="AI24" i="31" s="1"/>
  <c r="AL66" i="23"/>
  <c r="AL72" i="23" s="1"/>
  <c r="AI11" i="36"/>
  <c r="AJ6" i="36"/>
  <c r="AJ7" i="36"/>
  <c r="AL26" i="24"/>
  <c r="AH73" i="31"/>
  <c r="AE72" i="40"/>
  <c r="AG23" i="36"/>
  <c r="AG30" i="36"/>
  <c r="AG35" i="36" s="1"/>
  <c r="AH19" i="36"/>
  <c r="AH31" i="36" s="1"/>
  <c r="AH18" i="36"/>
  <c r="AH34" i="32"/>
  <c r="AF30" i="36"/>
  <c r="AF35" i="36" s="1"/>
  <c r="AF23" i="36"/>
  <c r="AJ52" i="40"/>
  <c r="AJ51" i="40"/>
  <c r="AJ53" i="40"/>
  <c r="AH62" i="40"/>
  <c r="AH63" i="40"/>
  <c r="AH61" i="40"/>
  <c r="AH68" i="40"/>
  <c r="AF15" i="33"/>
  <c r="AF24" i="33" s="1"/>
  <c r="AF70" i="40"/>
  <c r="AG14" i="33"/>
  <c r="AG65" i="40"/>
  <c r="AG69" i="40"/>
  <c r="AG16" i="33"/>
  <c r="AG25" i="33" s="1"/>
  <c r="AG71" i="40"/>
  <c r="AH69" i="32"/>
  <c r="AF16" i="33"/>
  <c r="AF25" i="33" s="1"/>
  <c r="AF71" i="40"/>
  <c r="AH29" i="31"/>
  <c r="AH35" i="31" s="1"/>
  <c r="AH79" i="31" s="1"/>
  <c r="AH86" i="31"/>
  <c r="AH8" i="33"/>
  <c r="AH26" i="10"/>
  <c r="AH25" i="10"/>
  <c r="AH27" i="10"/>
  <c r="AH28" i="31"/>
  <c r="AH34" i="31" s="1"/>
  <c r="AH78" i="31" s="1"/>
  <c r="AH85" i="31"/>
  <c r="AI6" i="33"/>
  <c r="AI5" i="33"/>
  <c r="AI54" i="40"/>
  <c r="AI24" i="10"/>
  <c r="AJ58" i="40"/>
  <c r="AJ57" i="40" s="1"/>
  <c r="AJ23" i="10"/>
  <c r="AI7" i="33"/>
  <c r="AE17" i="33"/>
  <c r="AE23" i="33"/>
  <c r="AE26" i="33" s="1"/>
  <c r="AE14" i="19" s="1"/>
  <c r="AI60" i="40"/>
  <c r="AI67" i="40"/>
  <c r="AJ9" i="10"/>
  <c r="AJ10" i="10"/>
  <c r="AJ8" i="10"/>
  <c r="AI40" i="32"/>
  <c r="AI58" i="32" s="1"/>
  <c r="AI65" i="32" s="1"/>
  <c r="AI60" i="31"/>
  <c r="AI64" i="31" s="1"/>
  <c r="AI70" i="31" s="1"/>
  <c r="AI41" i="32"/>
  <c r="AI59" i="32" s="1"/>
  <c r="AI66" i="32" s="1"/>
  <c r="AI61" i="31"/>
  <c r="AI65" i="31" s="1"/>
  <c r="AI71" i="31" s="1"/>
  <c r="AI42" i="32"/>
  <c r="AI60" i="32" s="1"/>
  <c r="AI67" i="32" s="1"/>
  <c r="AI62" i="31"/>
  <c r="AI66" i="31" s="1"/>
  <c r="AI72" i="31" s="1"/>
  <c r="AI25" i="31"/>
  <c r="AH39" i="37"/>
  <c r="AI6" i="32"/>
  <c r="AI24" i="32" s="1"/>
  <c r="AI31" i="32" s="1"/>
  <c r="AI7" i="32"/>
  <c r="AI25" i="32" s="1"/>
  <c r="AI32" i="32" s="1"/>
  <c r="AI5" i="32"/>
  <c r="AI23" i="32" s="1"/>
  <c r="AI30" i="32" s="1"/>
  <c r="AL48" i="40"/>
  <c r="AK50" i="40"/>
  <c r="AH27" i="31"/>
  <c r="AH33" i="31" s="1"/>
  <c r="AH84" i="31"/>
  <c r="AF14" i="33"/>
  <c r="AF65" i="40"/>
  <c r="AF69" i="40"/>
  <c r="AI9" i="10"/>
  <c r="AI8" i="10"/>
  <c r="AI10" i="10"/>
  <c r="AG15" i="33"/>
  <c r="AG24" i="33" s="1"/>
  <c r="AG70" i="40"/>
  <c r="AH55" i="6"/>
  <c r="AI21" i="4"/>
  <c r="AI23" i="4" s="1"/>
  <c r="AJ5" i="7" s="1"/>
  <c r="AI15" i="4"/>
  <c r="AI49" i="6" s="1"/>
  <c r="AI50" i="6" s="1"/>
  <c r="AH7" i="6"/>
  <c r="AH33" i="6" s="1"/>
  <c r="AH34" i="6" s="1"/>
  <c r="AH21" i="6"/>
  <c r="AI189" i="38"/>
  <c r="AH5" i="3"/>
  <c r="AI18" i="3"/>
  <c r="AI21" i="3" s="1"/>
  <c r="AI52" i="6" s="1"/>
  <c r="AI54" i="6" s="1"/>
  <c r="AH38" i="37"/>
  <c r="AK30" i="37"/>
  <c r="AK21" i="37"/>
  <c r="AJ30" i="37"/>
  <c r="AJ33" i="37" s="1"/>
  <c r="AK22" i="10" s="1"/>
  <c r="AJ21" i="37"/>
  <c r="AI44" i="37"/>
  <c r="AI41" i="37"/>
  <c r="AJ13" i="4" s="1"/>
  <c r="AI34" i="37"/>
  <c r="AI50" i="37"/>
  <c r="AI35" i="37"/>
  <c r="AG46" i="37"/>
  <c r="AL168" i="38"/>
  <c r="AM4" i="38"/>
  <c r="AL174" i="38"/>
  <c r="AL180" i="38" s="1"/>
  <c r="AL6" i="38"/>
  <c r="AK95" i="38"/>
  <c r="AJ100" i="38"/>
  <c r="AJ185" i="38"/>
  <c r="AM122" i="38"/>
  <c r="B122" i="38" s="1"/>
  <c r="B120" i="38"/>
  <c r="AK133" i="38"/>
  <c r="AK187" i="38"/>
  <c r="AJ16" i="3" s="1"/>
  <c r="AI16" i="36"/>
  <c r="AJ4" i="36"/>
  <c r="AI40" i="36"/>
  <c r="AI28" i="36"/>
  <c r="AH17" i="34"/>
  <c r="AH43" i="34"/>
  <c r="AH30" i="34"/>
  <c r="AI4" i="34"/>
  <c r="AG43" i="34"/>
  <c r="AG17" i="34"/>
  <c r="AG30" i="34"/>
  <c r="AJ43" i="31" l="1"/>
  <c r="AJ44" i="31"/>
  <c r="AJ5" i="31"/>
  <c r="AJ23" i="31" s="1"/>
  <c r="AJ6" i="31"/>
  <c r="AJ7" i="31"/>
  <c r="AJ42" i="31"/>
  <c r="AH24" i="34"/>
  <c r="AH18" i="35"/>
  <c r="AH28" i="35" s="1"/>
  <c r="AJ11" i="36"/>
  <c r="AK6" i="36"/>
  <c r="AK7" i="36"/>
  <c r="AH73" i="32"/>
  <c r="AH13" i="19" s="1"/>
  <c r="AH23" i="36"/>
  <c r="AH30" i="36"/>
  <c r="AH35" i="36" s="1"/>
  <c r="AI19" i="36"/>
  <c r="AI31" i="36" s="1"/>
  <c r="AI18" i="36"/>
  <c r="AH22" i="34"/>
  <c r="AH35" i="34" s="1"/>
  <c r="AH23" i="34"/>
  <c r="AH36" i="34" s="1"/>
  <c r="AH19" i="34"/>
  <c r="AH21" i="34"/>
  <c r="AH34" i="34" s="1"/>
  <c r="AI69" i="32"/>
  <c r="AH77" i="31"/>
  <c r="AH80" i="31" s="1"/>
  <c r="AH12" i="19" s="1"/>
  <c r="AH36" i="31"/>
  <c r="AI8" i="33"/>
  <c r="AH14" i="33"/>
  <c r="AH65" i="40"/>
  <c r="AH69" i="40"/>
  <c r="AI29" i="31"/>
  <c r="AI35" i="31" s="1"/>
  <c r="AI79" i="31" s="1"/>
  <c r="AI86" i="31"/>
  <c r="AJ44" i="37"/>
  <c r="AJ45" i="37" s="1"/>
  <c r="AJ46" i="37" s="1"/>
  <c r="AJ48" i="37" s="1"/>
  <c r="AK5" i="10"/>
  <c r="AK7" i="10" s="1"/>
  <c r="AH16" i="33"/>
  <c r="AH25" i="33" s="1"/>
  <c r="AH71" i="40"/>
  <c r="AK58" i="40"/>
  <c r="AK57" i="40" s="1"/>
  <c r="AK23" i="10"/>
  <c r="AK52" i="40"/>
  <c r="AK53" i="40"/>
  <c r="AK51" i="40"/>
  <c r="AI85" i="31"/>
  <c r="AI28" i="31"/>
  <c r="AI34" i="31" s="1"/>
  <c r="AI78" i="31" s="1"/>
  <c r="AG72" i="40"/>
  <c r="AH15" i="33"/>
  <c r="AH24" i="33" s="1"/>
  <c r="AH70" i="40"/>
  <c r="AL50" i="40"/>
  <c r="C48" i="40"/>
  <c r="AJ24" i="10"/>
  <c r="AI34" i="32"/>
  <c r="AI73" i="31"/>
  <c r="AJ60" i="40"/>
  <c r="AJ67" i="40"/>
  <c r="AG17" i="33"/>
  <c r="AG23" i="33"/>
  <c r="AG26" i="33" s="1"/>
  <c r="AG14" i="19" s="1"/>
  <c r="AJ7" i="33"/>
  <c r="AK44" i="37"/>
  <c r="AK45" i="37" s="1"/>
  <c r="AK46" i="37" s="1"/>
  <c r="AK48" i="37" s="1"/>
  <c r="AL5" i="10"/>
  <c r="C5" i="10" s="1"/>
  <c r="AJ5" i="32"/>
  <c r="AJ23" i="32" s="1"/>
  <c r="AJ30" i="32" s="1"/>
  <c r="AJ6" i="32"/>
  <c r="AJ24" i="32" s="1"/>
  <c r="AJ31" i="32" s="1"/>
  <c r="AJ7" i="32"/>
  <c r="AJ25" i="32" s="1"/>
  <c r="AJ32" i="32" s="1"/>
  <c r="AI27" i="31"/>
  <c r="AI33" i="31" s="1"/>
  <c r="AI84" i="31"/>
  <c r="AI62" i="40"/>
  <c r="AI63" i="40"/>
  <c r="AI61" i="40"/>
  <c r="AI68" i="40"/>
  <c r="AI26" i="10"/>
  <c r="AI25" i="10"/>
  <c r="AI27" i="10"/>
  <c r="AF72" i="40"/>
  <c r="AJ5" i="33"/>
  <c r="AJ54" i="40"/>
  <c r="AF17" i="33"/>
  <c r="AF23" i="33"/>
  <c r="AF26" i="33" s="1"/>
  <c r="AF14" i="19" s="1"/>
  <c r="AI38" i="37"/>
  <c r="AJ40" i="32"/>
  <c r="AJ58" i="32" s="1"/>
  <c r="AJ65" i="32" s="1"/>
  <c r="AJ60" i="31"/>
  <c r="AJ64" i="31" s="1"/>
  <c r="AJ70" i="31" s="1"/>
  <c r="AJ41" i="32"/>
  <c r="AJ59" i="32" s="1"/>
  <c r="AJ66" i="32" s="1"/>
  <c r="AJ61" i="31"/>
  <c r="AJ65" i="31" s="1"/>
  <c r="AJ71" i="31" s="1"/>
  <c r="AJ42" i="32"/>
  <c r="AJ60" i="32" s="1"/>
  <c r="AJ67" i="32" s="1"/>
  <c r="AJ24" i="31"/>
  <c r="AJ62" i="31"/>
  <c r="AJ66" i="31" s="1"/>
  <c r="AJ72" i="31" s="1"/>
  <c r="AJ25" i="31"/>
  <c r="AH15" i="35"/>
  <c r="AH16" i="35"/>
  <c r="AH26" i="35" s="1"/>
  <c r="AH17" i="35"/>
  <c r="AH27" i="35" s="1"/>
  <c r="AJ6" i="33"/>
  <c r="AI55" i="6"/>
  <c r="AJ15" i="4"/>
  <c r="AJ49" i="6" s="1"/>
  <c r="AJ50" i="6" s="1"/>
  <c r="AJ21" i="4"/>
  <c r="AJ23" i="4" s="1"/>
  <c r="AK5" i="7" s="1"/>
  <c r="AI21" i="6"/>
  <c r="AI7" i="6"/>
  <c r="AI33" i="6" s="1"/>
  <c r="AI34" i="6" s="1"/>
  <c r="AJ189" i="38"/>
  <c r="AI5" i="3"/>
  <c r="AH7" i="3"/>
  <c r="AH10" i="3" s="1"/>
  <c r="AH27" i="3"/>
  <c r="AJ18" i="3"/>
  <c r="AJ21" i="3" s="1"/>
  <c r="AJ52" i="6" s="1"/>
  <c r="AJ54" i="6" s="1"/>
  <c r="AK33" i="37"/>
  <c r="AL22" i="10" s="1"/>
  <c r="C22" i="10" s="1"/>
  <c r="B21" i="37"/>
  <c r="AI45" i="37"/>
  <c r="AG48" i="37"/>
  <c r="AI39" i="37"/>
  <c r="AI51" i="37"/>
  <c r="AJ41" i="37"/>
  <c r="AK13" i="4" s="1"/>
  <c r="AJ34" i="37"/>
  <c r="AJ50" i="37"/>
  <c r="AJ51" i="37" s="1"/>
  <c r="AJ35" i="37"/>
  <c r="AK100" i="38"/>
  <c r="AL95" i="38"/>
  <c r="AK185" i="38"/>
  <c r="B128" i="38"/>
  <c r="AM174" i="38"/>
  <c r="AM6" i="38"/>
  <c r="AL133" i="38"/>
  <c r="AL187" i="38"/>
  <c r="AK16" i="3" s="1"/>
  <c r="AJ4" i="34"/>
  <c r="AI17" i="34"/>
  <c r="AI43" i="34"/>
  <c r="AI30" i="34"/>
  <c r="AJ40" i="36"/>
  <c r="AJ28" i="36"/>
  <c r="AK4" i="36"/>
  <c r="AJ16" i="36"/>
  <c r="AG61" i="32"/>
  <c r="AF61" i="32"/>
  <c r="AE61" i="32"/>
  <c r="AD61" i="32"/>
  <c r="AC61" i="32"/>
  <c r="AB61" i="32"/>
  <c r="AA61" i="32"/>
  <c r="Z61" i="32"/>
  <c r="Y61" i="32"/>
  <c r="X61" i="32"/>
  <c r="W61" i="32"/>
  <c r="V61" i="32"/>
  <c r="U61" i="32"/>
  <c r="T61" i="32"/>
  <c r="S61" i="32"/>
  <c r="R61" i="32"/>
  <c r="Q61" i="32"/>
  <c r="P61" i="32"/>
  <c r="O61" i="32"/>
  <c r="N61" i="32"/>
  <c r="M61" i="32"/>
  <c r="L61" i="32"/>
  <c r="K61" i="32"/>
  <c r="J61" i="32"/>
  <c r="I61" i="32"/>
  <c r="H61" i="32"/>
  <c r="G61" i="32"/>
  <c r="F61" i="32"/>
  <c r="E61" i="32"/>
  <c r="D61" i="32"/>
  <c r="AG60" i="32"/>
  <c r="AG67" i="32" s="1"/>
  <c r="AF60" i="32"/>
  <c r="AF67" i="32" s="1"/>
  <c r="AE60" i="32"/>
  <c r="AE67" i="32" s="1"/>
  <c r="AD60" i="32"/>
  <c r="AD67" i="32" s="1"/>
  <c r="AC60" i="32"/>
  <c r="AC67" i="32" s="1"/>
  <c r="AB60" i="32"/>
  <c r="AB67" i="32" s="1"/>
  <c r="AA60" i="32"/>
  <c r="AA67" i="32" s="1"/>
  <c r="Z60" i="32"/>
  <c r="Z67" i="32" s="1"/>
  <c r="Y60" i="32"/>
  <c r="Y67" i="32" s="1"/>
  <c r="X60" i="32"/>
  <c r="X67" i="32" s="1"/>
  <c r="W60" i="32"/>
  <c r="W67" i="32" s="1"/>
  <c r="V60" i="32"/>
  <c r="V67" i="32" s="1"/>
  <c r="U60" i="32"/>
  <c r="U67" i="32" s="1"/>
  <c r="T60" i="32"/>
  <c r="T67" i="32" s="1"/>
  <c r="S60" i="32"/>
  <c r="S67" i="32" s="1"/>
  <c r="R60" i="32"/>
  <c r="R67" i="32" s="1"/>
  <c r="Q60" i="32"/>
  <c r="Q67" i="32" s="1"/>
  <c r="P60" i="32"/>
  <c r="P67" i="32" s="1"/>
  <c r="O60" i="32"/>
  <c r="O67" i="32" s="1"/>
  <c r="N60" i="32"/>
  <c r="N67" i="32" s="1"/>
  <c r="M60" i="32"/>
  <c r="M67" i="32" s="1"/>
  <c r="L60" i="32"/>
  <c r="L67" i="32" s="1"/>
  <c r="K60" i="32"/>
  <c r="K67" i="32" s="1"/>
  <c r="J60" i="32"/>
  <c r="J67" i="32" s="1"/>
  <c r="I60" i="32"/>
  <c r="I67" i="32" s="1"/>
  <c r="H60" i="32"/>
  <c r="H67" i="32" s="1"/>
  <c r="G60" i="32"/>
  <c r="G67" i="32" s="1"/>
  <c r="F60" i="32"/>
  <c r="F67" i="32" s="1"/>
  <c r="E60" i="32"/>
  <c r="E67" i="32" s="1"/>
  <c r="D60" i="32"/>
  <c r="D67" i="32" s="1"/>
  <c r="AG59" i="32"/>
  <c r="AG66" i="32" s="1"/>
  <c r="AF59" i="32"/>
  <c r="AF66" i="32" s="1"/>
  <c r="AE59" i="32"/>
  <c r="AE66" i="32" s="1"/>
  <c r="AD59" i="32"/>
  <c r="AD66" i="32" s="1"/>
  <c r="AC59" i="32"/>
  <c r="AC66" i="32" s="1"/>
  <c r="AB59" i="32"/>
  <c r="AB66" i="32" s="1"/>
  <c r="AA59" i="32"/>
  <c r="AA66" i="32" s="1"/>
  <c r="Z59" i="32"/>
  <c r="Z66" i="32" s="1"/>
  <c r="Y59" i="32"/>
  <c r="Y66" i="32" s="1"/>
  <c r="X59" i="32"/>
  <c r="X66" i="32" s="1"/>
  <c r="W59" i="32"/>
  <c r="W66" i="32" s="1"/>
  <c r="V59" i="32"/>
  <c r="V66" i="32" s="1"/>
  <c r="U59" i="32"/>
  <c r="U66" i="32" s="1"/>
  <c r="T59" i="32"/>
  <c r="T66" i="32" s="1"/>
  <c r="S59" i="32"/>
  <c r="S66" i="32" s="1"/>
  <c r="R59" i="32"/>
  <c r="R66" i="32" s="1"/>
  <c r="Q59" i="32"/>
  <c r="Q66" i="32" s="1"/>
  <c r="P59" i="32"/>
  <c r="P66" i="32" s="1"/>
  <c r="O59" i="32"/>
  <c r="O66" i="32" s="1"/>
  <c r="N59" i="32"/>
  <c r="N66" i="32" s="1"/>
  <c r="M59" i="32"/>
  <c r="M66" i="32" s="1"/>
  <c r="L59" i="32"/>
  <c r="L66" i="32" s="1"/>
  <c r="K59" i="32"/>
  <c r="K66" i="32" s="1"/>
  <c r="J59" i="32"/>
  <c r="J66" i="32" s="1"/>
  <c r="I59" i="32"/>
  <c r="I66" i="32" s="1"/>
  <c r="H59" i="32"/>
  <c r="H66" i="32" s="1"/>
  <c r="G59" i="32"/>
  <c r="G66" i="32" s="1"/>
  <c r="F59" i="32"/>
  <c r="F66" i="32" s="1"/>
  <c r="E59" i="32"/>
  <c r="E66" i="32" s="1"/>
  <c r="D59" i="32"/>
  <c r="D66" i="32" s="1"/>
  <c r="AG58" i="32"/>
  <c r="AG65" i="32" s="1"/>
  <c r="AF58" i="32"/>
  <c r="AF65" i="32" s="1"/>
  <c r="AE58" i="32"/>
  <c r="AE65" i="32" s="1"/>
  <c r="AD58" i="32"/>
  <c r="AD65" i="32" s="1"/>
  <c r="AC58" i="32"/>
  <c r="AC65" i="32" s="1"/>
  <c r="AB58" i="32"/>
  <c r="AB65" i="32" s="1"/>
  <c r="AA58" i="32"/>
  <c r="AA65" i="32" s="1"/>
  <c r="Z58" i="32"/>
  <c r="Z65" i="32" s="1"/>
  <c r="Y58" i="32"/>
  <c r="Y65" i="32" s="1"/>
  <c r="X58" i="32"/>
  <c r="X65" i="32" s="1"/>
  <c r="W58" i="32"/>
  <c r="W65" i="32" s="1"/>
  <c r="V58" i="32"/>
  <c r="V65" i="32" s="1"/>
  <c r="U58" i="32"/>
  <c r="U65" i="32" s="1"/>
  <c r="T58" i="32"/>
  <c r="T65" i="32" s="1"/>
  <c r="S58" i="32"/>
  <c r="S65" i="32" s="1"/>
  <c r="R58" i="32"/>
  <c r="R65" i="32" s="1"/>
  <c r="Q58" i="32"/>
  <c r="Q65" i="32" s="1"/>
  <c r="P58" i="32"/>
  <c r="P65" i="32" s="1"/>
  <c r="O58" i="32"/>
  <c r="O65" i="32" s="1"/>
  <c r="N58" i="32"/>
  <c r="N65" i="32" s="1"/>
  <c r="M58" i="32"/>
  <c r="M65" i="32" s="1"/>
  <c r="L58" i="32"/>
  <c r="L65" i="32" s="1"/>
  <c r="K58" i="32"/>
  <c r="K65" i="32" s="1"/>
  <c r="J58" i="32"/>
  <c r="J65" i="32" s="1"/>
  <c r="I58" i="32"/>
  <c r="I65" i="32" s="1"/>
  <c r="H58" i="32"/>
  <c r="H65" i="32" s="1"/>
  <c r="G58" i="32"/>
  <c r="G65" i="32" s="1"/>
  <c r="F58" i="32"/>
  <c r="F65" i="32" s="1"/>
  <c r="E58" i="32"/>
  <c r="E65" i="32" s="1"/>
  <c r="D58" i="32"/>
  <c r="D65" i="32" s="1"/>
  <c r="AG26" i="32"/>
  <c r="AF26" i="32"/>
  <c r="AE26" i="32"/>
  <c r="AD26" i="32"/>
  <c r="AC26" i="32"/>
  <c r="AB26" i="32"/>
  <c r="AA26" i="32"/>
  <c r="Z26" i="32"/>
  <c r="Y26" i="32"/>
  <c r="X26" i="32"/>
  <c r="W26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H26" i="32"/>
  <c r="G26" i="32"/>
  <c r="F26" i="32"/>
  <c r="E26" i="32"/>
  <c r="D26" i="32"/>
  <c r="AG25" i="32"/>
  <c r="AG32" i="32" s="1"/>
  <c r="AF25" i="32"/>
  <c r="AF32" i="32" s="1"/>
  <c r="AE25" i="32"/>
  <c r="AE32" i="32" s="1"/>
  <c r="AD25" i="32"/>
  <c r="AD32" i="32" s="1"/>
  <c r="AC25" i="32"/>
  <c r="AC32" i="32" s="1"/>
  <c r="AB25" i="32"/>
  <c r="AB32" i="32" s="1"/>
  <c r="AA25" i="32"/>
  <c r="AA32" i="32" s="1"/>
  <c r="Z25" i="32"/>
  <c r="Z32" i="32" s="1"/>
  <c r="Y25" i="32"/>
  <c r="Y32" i="32" s="1"/>
  <c r="X25" i="32"/>
  <c r="X32" i="32" s="1"/>
  <c r="W25" i="32"/>
  <c r="W32" i="32" s="1"/>
  <c r="V25" i="32"/>
  <c r="V32" i="32" s="1"/>
  <c r="U25" i="32"/>
  <c r="U32" i="32" s="1"/>
  <c r="T25" i="32"/>
  <c r="T32" i="32" s="1"/>
  <c r="S25" i="32"/>
  <c r="S32" i="32" s="1"/>
  <c r="R25" i="32"/>
  <c r="R32" i="32" s="1"/>
  <c r="Q25" i="32"/>
  <c r="Q32" i="32" s="1"/>
  <c r="P25" i="32"/>
  <c r="P32" i="32" s="1"/>
  <c r="O25" i="32"/>
  <c r="O32" i="32" s="1"/>
  <c r="N25" i="32"/>
  <c r="N32" i="32" s="1"/>
  <c r="M25" i="32"/>
  <c r="M32" i="32" s="1"/>
  <c r="L25" i="32"/>
  <c r="L32" i="32" s="1"/>
  <c r="K25" i="32"/>
  <c r="K32" i="32" s="1"/>
  <c r="J25" i="32"/>
  <c r="J32" i="32" s="1"/>
  <c r="I25" i="32"/>
  <c r="I32" i="32" s="1"/>
  <c r="H25" i="32"/>
  <c r="H32" i="32" s="1"/>
  <c r="G25" i="32"/>
  <c r="G32" i="32" s="1"/>
  <c r="F25" i="32"/>
  <c r="F32" i="32" s="1"/>
  <c r="E25" i="32"/>
  <c r="E32" i="32" s="1"/>
  <c r="D25" i="32"/>
  <c r="D32" i="32" s="1"/>
  <c r="AG24" i="32"/>
  <c r="AG31" i="32" s="1"/>
  <c r="AF24" i="32"/>
  <c r="AF31" i="32" s="1"/>
  <c r="AE24" i="32"/>
  <c r="AE31" i="32" s="1"/>
  <c r="AD24" i="32"/>
  <c r="AD31" i="32" s="1"/>
  <c r="AC24" i="32"/>
  <c r="AC31" i="32" s="1"/>
  <c r="AB24" i="32"/>
  <c r="AB31" i="32" s="1"/>
  <c r="AA24" i="32"/>
  <c r="AA31" i="32" s="1"/>
  <c r="Z24" i="32"/>
  <c r="Z31" i="32" s="1"/>
  <c r="Y24" i="32"/>
  <c r="Y31" i="32" s="1"/>
  <c r="X24" i="32"/>
  <c r="X31" i="32" s="1"/>
  <c r="W24" i="32"/>
  <c r="W31" i="32" s="1"/>
  <c r="V24" i="32"/>
  <c r="V31" i="32" s="1"/>
  <c r="U24" i="32"/>
  <c r="U31" i="32" s="1"/>
  <c r="T24" i="32"/>
  <c r="T31" i="32" s="1"/>
  <c r="S24" i="32"/>
  <c r="S31" i="32" s="1"/>
  <c r="R24" i="32"/>
  <c r="R31" i="32" s="1"/>
  <c r="Q24" i="32"/>
  <c r="Q31" i="32" s="1"/>
  <c r="P24" i="32"/>
  <c r="P31" i="32" s="1"/>
  <c r="O24" i="32"/>
  <c r="O31" i="32" s="1"/>
  <c r="N24" i="32"/>
  <c r="N31" i="32" s="1"/>
  <c r="M24" i="32"/>
  <c r="M31" i="32" s="1"/>
  <c r="L24" i="32"/>
  <c r="L31" i="32" s="1"/>
  <c r="K24" i="32"/>
  <c r="K31" i="32" s="1"/>
  <c r="J24" i="32"/>
  <c r="J31" i="32" s="1"/>
  <c r="I24" i="32"/>
  <c r="I31" i="32" s="1"/>
  <c r="H24" i="32"/>
  <c r="H31" i="32" s="1"/>
  <c r="G24" i="32"/>
  <c r="G31" i="32" s="1"/>
  <c r="F24" i="32"/>
  <c r="F31" i="32" s="1"/>
  <c r="E24" i="32"/>
  <c r="E31" i="32" s="1"/>
  <c r="D24" i="32"/>
  <c r="D31" i="32" s="1"/>
  <c r="AG23" i="32"/>
  <c r="AG30" i="32" s="1"/>
  <c r="AF23" i="32"/>
  <c r="AF30" i="32" s="1"/>
  <c r="AE23" i="32"/>
  <c r="AE30" i="32" s="1"/>
  <c r="AD23" i="32"/>
  <c r="AD30" i="32" s="1"/>
  <c r="AC23" i="32"/>
  <c r="AC30" i="32" s="1"/>
  <c r="AB23" i="32"/>
  <c r="AB30" i="32" s="1"/>
  <c r="AA23" i="32"/>
  <c r="AA30" i="32" s="1"/>
  <c r="Z23" i="32"/>
  <c r="Z30" i="32" s="1"/>
  <c r="Y23" i="32"/>
  <c r="Y30" i="32" s="1"/>
  <c r="X23" i="32"/>
  <c r="X30" i="32" s="1"/>
  <c r="W23" i="32"/>
  <c r="W30" i="32" s="1"/>
  <c r="V23" i="32"/>
  <c r="V30" i="32" s="1"/>
  <c r="U23" i="32"/>
  <c r="U30" i="32" s="1"/>
  <c r="T23" i="32"/>
  <c r="T30" i="32" s="1"/>
  <c r="S23" i="32"/>
  <c r="S30" i="32" s="1"/>
  <c r="R23" i="32"/>
  <c r="R30" i="32" s="1"/>
  <c r="Q23" i="32"/>
  <c r="Q30" i="32" s="1"/>
  <c r="P23" i="32"/>
  <c r="P30" i="32" s="1"/>
  <c r="O23" i="32"/>
  <c r="O30" i="32" s="1"/>
  <c r="N23" i="32"/>
  <c r="N30" i="32" s="1"/>
  <c r="M23" i="32"/>
  <c r="M30" i="32" s="1"/>
  <c r="L23" i="32"/>
  <c r="L30" i="32" s="1"/>
  <c r="K23" i="32"/>
  <c r="K30" i="32" s="1"/>
  <c r="J23" i="32"/>
  <c r="J30" i="32" s="1"/>
  <c r="I23" i="32"/>
  <c r="I30" i="32" s="1"/>
  <c r="H23" i="32"/>
  <c r="H30" i="32" s="1"/>
  <c r="G23" i="32"/>
  <c r="G30" i="32" s="1"/>
  <c r="F23" i="32"/>
  <c r="F30" i="32" s="1"/>
  <c r="E23" i="32"/>
  <c r="E30" i="32" s="1"/>
  <c r="D23" i="32"/>
  <c r="D48" i="32"/>
  <c r="AK42" i="31" l="1"/>
  <c r="AK60" i="31" s="1"/>
  <c r="AK64" i="31" s="1"/>
  <c r="AK70" i="31" s="1"/>
  <c r="AK7" i="31"/>
  <c r="AK43" i="31"/>
  <c r="AK61" i="31" s="1"/>
  <c r="AK65" i="31" s="1"/>
  <c r="AK71" i="31" s="1"/>
  <c r="AK44" i="31"/>
  <c r="AK6" i="31"/>
  <c r="AK5" i="31"/>
  <c r="AI18" i="35"/>
  <c r="AI28" i="35" s="1"/>
  <c r="AI24" i="34"/>
  <c r="AK11" i="36"/>
  <c r="AL6" i="36"/>
  <c r="AL7" i="36"/>
  <c r="C7" i="36" s="1"/>
  <c r="AI73" i="32"/>
  <c r="AI13" i="19" s="1"/>
  <c r="B44" i="37"/>
  <c r="AH11" i="19"/>
  <c r="AJ19" i="36"/>
  <c r="AJ31" i="36" s="1"/>
  <c r="AJ18" i="36"/>
  <c r="AH32" i="34"/>
  <c r="AI23" i="36"/>
  <c r="AI30" i="36"/>
  <c r="AI35" i="36" s="1"/>
  <c r="AI22" i="34"/>
  <c r="AI35" i="34" s="1"/>
  <c r="AI23" i="34"/>
  <c r="AI36" i="34" s="1"/>
  <c r="AI19" i="34"/>
  <c r="AI21" i="34"/>
  <c r="AI34" i="34" s="1"/>
  <c r="AK24" i="10"/>
  <c r="AK25" i="10" s="1"/>
  <c r="AJ86" i="31"/>
  <c r="AJ29" i="31"/>
  <c r="AJ35" i="31" s="1"/>
  <c r="AJ79" i="31" s="1"/>
  <c r="AJ69" i="32"/>
  <c r="AI16" i="35"/>
  <c r="AI26" i="35" s="1"/>
  <c r="AI17" i="35"/>
  <c r="AI27" i="35" s="1"/>
  <c r="AI15" i="35"/>
  <c r="AJ27" i="10"/>
  <c r="AJ25" i="10"/>
  <c r="AJ26" i="10"/>
  <c r="AK60" i="40"/>
  <c r="AK67" i="40"/>
  <c r="AH72" i="40"/>
  <c r="AI77" i="31"/>
  <c r="AI80" i="31" s="1"/>
  <c r="AI12" i="19" s="1"/>
  <c r="AI36" i="31"/>
  <c r="AH17" i="33"/>
  <c r="AH23" i="33"/>
  <c r="AH26" i="33" s="1"/>
  <c r="AH14" i="19" s="1"/>
  <c r="AJ28" i="31"/>
  <c r="AJ34" i="31" s="1"/>
  <c r="AJ78" i="31" s="1"/>
  <c r="AJ85" i="31"/>
  <c r="AK5" i="33"/>
  <c r="AK54" i="40"/>
  <c r="AJ39" i="37"/>
  <c r="AK5" i="32"/>
  <c r="AK23" i="32" s="1"/>
  <c r="AK30" i="32" s="1"/>
  <c r="AK6" i="32"/>
  <c r="AK24" i="32" s="1"/>
  <c r="AK31" i="32" s="1"/>
  <c r="AK7" i="32"/>
  <c r="AK25" i="32" s="1"/>
  <c r="AK32" i="32" s="1"/>
  <c r="AJ34" i="32"/>
  <c r="AJ68" i="40"/>
  <c r="AJ61" i="40"/>
  <c r="AJ62" i="40"/>
  <c r="AJ63" i="40"/>
  <c r="AL51" i="40"/>
  <c r="AL52" i="40"/>
  <c r="AL53" i="40"/>
  <c r="C50" i="40"/>
  <c r="AK7" i="33"/>
  <c r="AK9" i="10"/>
  <c r="AK8" i="10"/>
  <c r="AK10" i="10"/>
  <c r="AJ27" i="31"/>
  <c r="AJ33" i="31" s="1"/>
  <c r="AJ84" i="31"/>
  <c r="AI14" i="33"/>
  <c r="AI65" i="40"/>
  <c r="AI69" i="40"/>
  <c r="AL7" i="10"/>
  <c r="AK6" i="33"/>
  <c r="AK25" i="31"/>
  <c r="AK40" i="32"/>
  <c r="AK58" i="32" s="1"/>
  <c r="AK65" i="32" s="1"/>
  <c r="AK41" i="32"/>
  <c r="AK59" i="32" s="1"/>
  <c r="AK66" i="32" s="1"/>
  <c r="AK23" i="31"/>
  <c r="AK42" i="32"/>
  <c r="AK60" i="32" s="1"/>
  <c r="AK67" i="32" s="1"/>
  <c r="AK24" i="31"/>
  <c r="AK62" i="31"/>
  <c r="AK66" i="31" s="1"/>
  <c r="AK72" i="31" s="1"/>
  <c r="AL58" i="40"/>
  <c r="AL23" i="10"/>
  <c r="C23" i="10" s="1"/>
  <c r="AJ8" i="33"/>
  <c r="AI16" i="33"/>
  <c r="AI25" i="33" s="1"/>
  <c r="AI71" i="40"/>
  <c r="AH19" i="35"/>
  <c r="AH25" i="35"/>
  <c r="AJ73" i="31"/>
  <c r="AI15" i="33"/>
  <c r="AI24" i="33" s="1"/>
  <c r="AI70" i="40"/>
  <c r="AJ55" i="6"/>
  <c r="AK15" i="4"/>
  <c r="AK49" i="6" s="1"/>
  <c r="AK50" i="6" s="1"/>
  <c r="AK21" i="4"/>
  <c r="AK23" i="4" s="1"/>
  <c r="AL5" i="7" s="1"/>
  <c r="AJ21" i="6"/>
  <c r="AJ7" i="6"/>
  <c r="AJ33" i="6" s="1"/>
  <c r="AJ34" i="6" s="1"/>
  <c r="AK189" i="38"/>
  <c r="AJ5" i="3"/>
  <c r="AH38" i="3"/>
  <c r="AH40" i="3" s="1"/>
  <c r="AH43" i="3" s="1"/>
  <c r="AH6" i="19" s="1"/>
  <c r="AH29" i="3"/>
  <c r="AH32" i="3" s="1"/>
  <c r="AI6" i="7" s="1"/>
  <c r="AI7" i="7" s="1"/>
  <c r="AI7" i="3"/>
  <c r="AI10" i="3" s="1"/>
  <c r="AI27" i="3"/>
  <c r="AK18" i="3"/>
  <c r="AK21" i="3" s="1"/>
  <c r="AK52" i="6" s="1"/>
  <c r="AK54" i="6" s="1"/>
  <c r="AI46" i="37"/>
  <c r="B45" i="37"/>
  <c r="AK41" i="37"/>
  <c r="AK35" i="37"/>
  <c r="AK34" i="37"/>
  <c r="AK50" i="37"/>
  <c r="AJ38" i="37"/>
  <c r="B33" i="37"/>
  <c r="B162" i="38"/>
  <c r="AM168" i="38"/>
  <c r="B168" i="38" s="1"/>
  <c r="B174" i="38"/>
  <c r="AM180" i="38"/>
  <c r="B180" i="38" s="1"/>
  <c r="AM95" i="38"/>
  <c r="AL100" i="38"/>
  <c r="AL185" i="38"/>
  <c r="AM133" i="38"/>
  <c r="B133" i="38" s="1"/>
  <c r="AM187" i="38"/>
  <c r="AL16" i="3" s="1"/>
  <c r="C16" i="3" s="1"/>
  <c r="C33" i="32"/>
  <c r="C26" i="32"/>
  <c r="C68" i="32"/>
  <c r="C61" i="32"/>
  <c r="AK16" i="36"/>
  <c r="AK28" i="36"/>
  <c r="AK40" i="36"/>
  <c r="AL4" i="36"/>
  <c r="D30" i="32"/>
  <c r="AJ43" i="34"/>
  <c r="AK4" i="34"/>
  <c r="AJ30" i="34"/>
  <c r="AJ17" i="34"/>
  <c r="R34" i="32"/>
  <c r="S34" i="32"/>
  <c r="AD34" i="32"/>
  <c r="P4" i="32"/>
  <c r="P22" i="32" s="1"/>
  <c r="S4" i="32"/>
  <c r="S22" i="32" s="1"/>
  <c r="W34" i="32"/>
  <c r="U4" i="32"/>
  <c r="U13" i="32" s="1"/>
  <c r="V69" i="32"/>
  <c r="T4" i="32"/>
  <c r="T48" i="32" s="1"/>
  <c r="G34" i="32"/>
  <c r="AA4" i="32"/>
  <c r="AA39" i="32" s="1"/>
  <c r="U34" i="32"/>
  <c r="AG34" i="32"/>
  <c r="AC4" i="32"/>
  <c r="AC48" i="32" s="1"/>
  <c r="AE34" i="32"/>
  <c r="I69" i="32"/>
  <c r="U69" i="32"/>
  <c r="AG69" i="32"/>
  <c r="J34" i="32"/>
  <c r="E4" i="32"/>
  <c r="E48" i="32" s="1"/>
  <c r="G4" i="32"/>
  <c r="G22" i="32" s="1"/>
  <c r="AE4" i="32"/>
  <c r="AE22" i="32" s="1"/>
  <c r="X34" i="32"/>
  <c r="AB4" i="32"/>
  <c r="AB48" i="32" s="1"/>
  <c r="AF4" i="32"/>
  <c r="AF13" i="32" s="1"/>
  <c r="I4" i="32"/>
  <c r="I13" i="32" s="1"/>
  <c r="L69" i="32"/>
  <c r="X69" i="32"/>
  <c r="H4" i="32"/>
  <c r="H13" i="32" s="1"/>
  <c r="J4" i="32"/>
  <c r="J39" i="32" s="1"/>
  <c r="N69" i="32"/>
  <c r="Z69" i="32"/>
  <c r="Q4" i="32"/>
  <c r="Q39" i="32" s="1"/>
  <c r="O69" i="32"/>
  <c r="AA69" i="32"/>
  <c r="V34" i="32"/>
  <c r="M34" i="32"/>
  <c r="Y69" i="32"/>
  <c r="AF69" i="32"/>
  <c r="AD4" i="32"/>
  <c r="R4" i="32"/>
  <c r="F4" i="32"/>
  <c r="D22" i="32"/>
  <c r="Z4" i="32"/>
  <c r="N4" i="32"/>
  <c r="M4" i="32"/>
  <c r="L4" i="32"/>
  <c r="Y4" i="32"/>
  <c r="X4" i="32"/>
  <c r="W4" i="32"/>
  <c r="K4" i="32"/>
  <c r="D39" i="32"/>
  <c r="D57" i="32"/>
  <c r="V4" i="32"/>
  <c r="Y34" i="32"/>
  <c r="P69" i="32"/>
  <c r="AB69" i="32"/>
  <c r="L34" i="32"/>
  <c r="N34" i="32"/>
  <c r="Z34" i="32"/>
  <c r="AA34" i="32"/>
  <c r="E69" i="32"/>
  <c r="Q69" i="32"/>
  <c r="AC69" i="32"/>
  <c r="O34" i="32"/>
  <c r="R69" i="32"/>
  <c r="AD69" i="32"/>
  <c r="F69" i="32"/>
  <c r="K34" i="32"/>
  <c r="P34" i="32"/>
  <c r="AB34" i="32"/>
  <c r="G69" i="32"/>
  <c r="S69" i="32"/>
  <c r="AE69" i="32"/>
  <c r="Q34" i="32"/>
  <c r="H69" i="32"/>
  <c r="E34" i="32"/>
  <c r="J69" i="32"/>
  <c r="O4" i="32"/>
  <c r="AG4" i="32"/>
  <c r="D13" i="32"/>
  <c r="M69" i="32"/>
  <c r="AC34" i="32"/>
  <c r="AC13" i="32"/>
  <c r="H34" i="32"/>
  <c r="T34" i="32"/>
  <c r="AF34" i="32"/>
  <c r="K69" i="32"/>
  <c r="W69" i="32"/>
  <c r="T69" i="32"/>
  <c r="AL42" i="31" l="1"/>
  <c r="AL7" i="31"/>
  <c r="AL43" i="31"/>
  <c r="AL44" i="31"/>
  <c r="AL5" i="31"/>
  <c r="AL6" i="31"/>
  <c r="AJ18" i="35"/>
  <c r="AJ28" i="35" s="1"/>
  <c r="AJ24" i="34"/>
  <c r="AJ37" i="34" s="1"/>
  <c r="AK26" i="10"/>
  <c r="AK27" i="10"/>
  <c r="AL11" i="36"/>
  <c r="C11" i="36" s="1"/>
  <c r="C6" i="36"/>
  <c r="AI11" i="19"/>
  <c r="AK73" i="31"/>
  <c r="AJ21" i="34"/>
  <c r="AJ34" i="34" s="1"/>
  <c r="AJ22" i="34"/>
  <c r="AJ35" i="34" s="1"/>
  <c r="AJ23" i="34"/>
  <c r="AJ36" i="34" s="1"/>
  <c r="AJ19" i="34"/>
  <c r="AK18" i="36"/>
  <c r="AK19" i="36"/>
  <c r="AK31" i="36" s="1"/>
  <c r="AJ23" i="36"/>
  <c r="AJ30" i="36"/>
  <c r="AJ35" i="36" s="1"/>
  <c r="AI32" i="34"/>
  <c r="AJ14" i="33"/>
  <c r="AJ65" i="40"/>
  <c r="AJ69" i="40"/>
  <c r="C58" i="40"/>
  <c r="AL57" i="40"/>
  <c r="AK69" i="32"/>
  <c r="AI17" i="33"/>
  <c r="AI23" i="33"/>
  <c r="AI26" i="33" s="1"/>
  <c r="AI14" i="19" s="1"/>
  <c r="AK38" i="37"/>
  <c r="B38" i="37" s="1"/>
  <c r="AL40" i="32"/>
  <c r="AL41" i="32"/>
  <c r="AL42" i="32"/>
  <c r="AK29" i="31"/>
  <c r="AK35" i="31" s="1"/>
  <c r="AK79" i="31" s="1"/>
  <c r="AK86" i="31"/>
  <c r="AJ15" i="35"/>
  <c r="AJ16" i="35"/>
  <c r="AJ26" i="35" s="1"/>
  <c r="AJ17" i="35"/>
  <c r="AJ27" i="35" s="1"/>
  <c r="AI19" i="35"/>
  <c r="AI25" i="35"/>
  <c r="AL5" i="32"/>
  <c r="AL6" i="32"/>
  <c r="AL7" i="32"/>
  <c r="AK85" i="31"/>
  <c r="AK28" i="31"/>
  <c r="AK34" i="31" s="1"/>
  <c r="AK78" i="31" s="1"/>
  <c r="AJ77" i="31"/>
  <c r="AJ80" i="31" s="1"/>
  <c r="AJ12" i="19" s="1"/>
  <c r="AJ36" i="31"/>
  <c r="AL7" i="33"/>
  <c r="C53" i="40"/>
  <c r="AK8" i="33"/>
  <c r="AL6" i="33"/>
  <c r="C52" i="40"/>
  <c r="AK61" i="40"/>
  <c r="AK62" i="40"/>
  <c r="AK63" i="40"/>
  <c r="AK68" i="40"/>
  <c r="AL5" i="33"/>
  <c r="AL54" i="40"/>
  <c r="C54" i="40" s="1"/>
  <c r="C51" i="40"/>
  <c r="AJ73" i="32"/>
  <c r="AJ13" i="19" s="1"/>
  <c r="AH30" i="35"/>
  <c r="AH29" i="35"/>
  <c r="AK84" i="31"/>
  <c r="AK27" i="31"/>
  <c r="AK33" i="31" s="1"/>
  <c r="AL8" i="10"/>
  <c r="AL10" i="10"/>
  <c r="AL9" i="10"/>
  <c r="AJ16" i="33"/>
  <c r="AJ25" i="33" s="1"/>
  <c r="AJ71" i="40"/>
  <c r="AL24" i="10"/>
  <c r="AI72" i="40"/>
  <c r="AJ15" i="33"/>
  <c r="AJ24" i="33" s="1"/>
  <c r="AJ70" i="40"/>
  <c r="AK34" i="32"/>
  <c r="S73" i="32"/>
  <c r="S13" i="19" s="1"/>
  <c r="R73" i="32"/>
  <c r="R13" i="19" s="1"/>
  <c r="AF39" i="32"/>
  <c r="AF57" i="32"/>
  <c r="AK55" i="6"/>
  <c r="B41" i="37"/>
  <c r="AL13" i="4"/>
  <c r="AK7" i="6"/>
  <c r="AK33" i="6" s="1"/>
  <c r="AK34" i="6" s="1"/>
  <c r="AK21" i="6"/>
  <c r="AH6" i="6"/>
  <c r="AH19" i="6"/>
  <c r="AH23" i="6" s="1"/>
  <c r="AL189" i="38"/>
  <c r="AK5" i="3"/>
  <c r="AJ7" i="3"/>
  <c r="AJ10" i="3" s="1"/>
  <c r="AJ27" i="3"/>
  <c r="AI38" i="3"/>
  <c r="AI40" i="3" s="1"/>
  <c r="AI43" i="3" s="1"/>
  <c r="AI6" i="19" s="1"/>
  <c r="AI29" i="3"/>
  <c r="AI32" i="3" s="1"/>
  <c r="AJ6" i="7" s="1"/>
  <c r="AJ7" i="7" s="1"/>
  <c r="AL18" i="3"/>
  <c r="AL21" i="3" s="1"/>
  <c r="AL52" i="6" s="1"/>
  <c r="AL54" i="6" s="1"/>
  <c r="AK39" i="37"/>
  <c r="B39" i="37" s="1"/>
  <c r="B35" i="37"/>
  <c r="AK51" i="37"/>
  <c r="B51" i="37" s="1"/>
  <c r="B50" i="37"/>
  <c r="B34" i="37"/>
  <c r="AI48" i="37"/>
  <c r="B48" i="37" s="1"/>
  <c r="B46" i="37"/>
  <c r="AM100" i="38"/>
  <c r="B100" i="38" s="1"/>
  <c r="AM185" i="38"/>
  <c r="B95" i="38"/>
  <c r="B187" i="38"/>
  <c r="AL4" i="34"/>
  <c r="AK43" i="34"/>
  <c r="AK30" i="34"/>
  <c r="AK17" i="34"/>
  <c r="AL16" i="36"/>
  <c r="AL40" i="36"/>
  <c r="AL28" i="36"/>
  <c r="AE73" i="32"/>
  <c r="AE13" i="19" s="1"/>
  <c r="AG73" i="32"/>
  <c r="AG13" i="19" s="1"/>
  <c r="I57" i="32"/>
  <c r="I39" i="32"/>
  <c r="P57" i="32"/>
  <c r="P39" i="32"/>
  <c r="H48" i="32"/>
  <c r="J48" i="32"/>
  <c r="J57" i="32"/>
  <c r="H39" i="32"/>
  <c r="AB13" i="32"/>
  <c r="H22" i="32"/>
  <c r="AA22" i="32"/>
  <c r="AE48" i="32"/>
  <c r="G13" i="32"/>
  <c r="AA13" i="32"/>
  <c r="X73" i="32"/>
  <c r="X13" i="19" s="1"/>
  <c r="AE39" i="32"/>
  <c r="AA57" i="32"/>
  <c r="AE13" i="32"/>
  <c r="Q22" i="32"/>
  <c r="AA48" i="32"/>
  <c r="AE57" i="32"/>
  <c r="H57" i="32"/>
  <c r="S13" i="32"/>
  <c r="I48" i="32"/>
  <c r="U73" i="32"/>
  <c r="U13" i="19" s="1"/>
  <c r="U22" i="32"/>
  <c r="U57" i="32"/>
  <c r="E13" i="32"/>
  <c r="W73" i="32"/>
  <c r="W13" i="19" s="1"/>
  <c r="U48" i="32"/>
  <c r="U39" i="32"/>
  <c r="J73" i="32"/>
  <c r="J13" i="19" s="1"/>
  <c r="AD73" i="32"/>
  <c r="AD13" i="19" s="1"/>
  <c r="Z73" i="32"/>
  <c r="Z13" i="19" s="1"/>
  <c r="AF22" i="32"/>
  <c r="AC39" i="32"/>
  <c r="AB39" i="32"/>
  <c r="N73" i="32"/>
  <c r="N13" i="19" s="1"/>
  <c r="Q13" i="32"/>
  <c r="S39" i="32"/>
  <c r="T13" i="32"/>
  <c r="T57" i="32"/>
  <c r="P13" i="32"/>
  <c r="P48" i="32"/>
  <c r="K73" i="32"/>
  <c r="K13" i="19" s="1"/>
  <c r="M73" i="32"/>
  <c r="M13" i="19" s="1"/>
  <c r="T39" i="32"/>
  <c r="V73" i="32"/>
  <c r="V13" i="19" s="1"/>
  <c r="G57" i="32"/>
  <c r="H73" i="32"/>
  <c r="H13" i="19" s="1"/>
  <c r="T22" i="32"/>
  <c r="G73" i="32"/>
  <c r="G13" i="19" s="1"/>
  <c r="G48" i="32"/>
  <c r="AA73" i="32"/>
  <c r="AA13" i="19" s="1"/>
  <c r="S57" i="32"/>
  <c r="G39" i="32"/>
  <c r="S48" i="32"/>
  <c r="L73" i="32"/>
  <c r="L13" i="19" s="1"/>
  <c r="AC57" i="32"/>
  <c r="AC22" i="32"/>
  <c r="O73" i="32"/>
  <c r="O13" i="19" s="1"/>
  <c r="AB57" i="32"/>
  <c r="J22" i="32"/>
  <c r="J13" i="32"/>
  <c r="T73" i="32"/>
  <c r="T13" i="19" s="1"/>
  <c r="AB22" i="32"/>
  <c r="Q73" i="32"/>
  <c r="Q13" i="19" s="1"/>
  <c r="Q48" i="32"/>
  <c r="Q57" i="32"/>
  <c r="E57" i="32"/>
  <c r="E22" i="32"/>
  <c r="AF48" i="32"/>
  <c r="E39" i="32"/>
  <c r="I22" i="32"/>
  <c r="R22" i="32"/>
  <c r="R39" i="32"/>
  <c r="R48" i="32"/>
  <c r="R57" i="32"/>
  <c r="R13" i="32"/>
  <c r="E73" i="32"/>
  <c r="E13" i="19" s="1"/>
  <c r="X39" i="32"/>
  <c r="X48" i="32"/>
  <c r="X57" i="32"/>
  <c r="X13" i="32"/>
  <c r="X22" i="32"/>
  <c r="AD22" i="32"/>
  <c r="AD39" i="32"/>
  <c r="AD48" i="32"/>
  <c r="AD57" i="32"/>
  <c r="AD13" i="32"/>
  <c r="D69" i="32"/>
  <c r="Y39" i="32"/>
  <c r="Y48" i="32"/>
  <c r="Y57" i="32"/>
  <c r="Y13" i="32"/>
  <c r="Y22" i="32"/>
  <c r="AF73" i="32"/>
  <c r="AF13" i="19" s="1"/>
  <c r="L39" i="32"/>
  <c r="L48" i="32"/>
  <c r="L57" i="32"/>
  <c r="L13" i="32"/>
  <c r="L22" i="32"/>
  <c r="Y73" i="32"/>
  <c r="Y13" i="19" s="1"/>
  <c r="F34" i="32"/>
  <c r="F73" i="32" s="1"/>
  <c r="F13" i="19" s="1"/>
  <c r="D34" i="32"/>
  <c r="AG39" i="32"/>
  <c r="AG48" i="32"/>
  <c r="AG57" i="32"/>
  <c r="AG22" i="32"/>
  <c r="AG13" i="32"/>
  <c r="I34" i="32"/>
  <c r="I73" i="32" s="1"/>
  <c r="I13" i="19" s="1"/>
  <c r="V39" i="32"/>
  <c r="V48" i="32"/>
  <c r="V57" i="32"/>
  <c r="V22" i="32"/>
  <c r="V13" i="32"/>
  <c r="M39" i="32"/>
  <c r="M48" i="32"/>
  <c r="M57" i="32"/>
  <c r="M13" i="32"/>
  <c r="M22" i="32"/>
  <c r="O57" i="32"/>
  <c r="O13" i="32"/>
  <c r="O22" i="32"/>
  <c r="O48" i="32"/>
  <c r="O39" i="32"/>
  <c r="N48" i="32"/>
  <c r="N57" i="32"/>
  <c r="N13" i="32"/>
  <c r="N22" i="32"/>
  <c r="N39" i="32"/>
  <c r="Z48" i="32"/>
  <c r="Z57" i="32"/>
  <c r="Z13" i="32"/>
  <c r="Z22" i="32"/>
  <c r="Z39" i="32"/>
  <c r="P73" i="32"/>
  <c r="P13" i="19" s="1"/>
  <c r="K39" i="32"/>
  <c r="K48" i="32"/>
  <c r="K57" i="32"/>
  <c r="K13" i="32"/>
  <c r="K22" i="32"/>
  <c r="AC73" i="32"/>
  <c r="AC13" i="19" s="1"/>
  <c r="AB73" i="32"/>
  <c r="AB13" i="19" s="1"/>
  <c r="W39" i="32"/>
  <c r="W48" i="32"/>
  <c r="W57" i="32"/>
  <c r="W13" i="32"/>
  <c r="W22" i="32"/>
  <c r="F22" i="32"/>
  <c r="F39" i="32"/>
  <c r="F48" i="32"/>
  <c r="F57" i="32"/>
  <c r="F13" i="32"/>
  <c r="AK18" i="35" l="1"/>
  <c r="AK28" i="35" s="1"/>
  <c r="AK24" i="34"/>
  <c r="AJ11" i="19"/>
  <c r="AK30" i="36"/>
  <c r="AK35" i="36" s="1"/>
  <c r="AK23" i="36"/>
  <c r="AK21" i="34"/>
  <c r="AK34" i="34" s="1"/>
  <c r="AK22" i="34"/>
  <c r="AK35" i="34" s="1"/>
  <c r="AK23" i="34"/>
  <c r="AK36" i="34" s="1"/>
  <c r="AK19" i="34"/>
  <c r="AK37" i="34"/>
  <c r="AJ32" i="34"/>
  <c r="AJ38" i="34" s="1"/>
  <c r="AJ25" i="34"/>
  <c r="AH37" i="34"/>
  <c r="AH38" i="34" s="1"/>
  <c r="AH25" i="34"/>
  <c r="AK15" i="35"/>
  <c r="AK17" i="35"/>
  <c r="AK27" i="35" s="1"/>
  <c r="AK16" i="35"/>
  <c r="AK26" i="35" s="1"/>
  <c r="AJ19" i="35"/>
  <c r="AJ25" i="35"/>
  <c r="AJ30" i="35" s="1"/>
  <c r="AL60" i="31"/>
  <c r="AL64" i="31" s="1"/>
  <c r="AL70" i="31" s="1"/>
  <c r="C42" i="31"/>
  <c r="AL60" i="40"/>
  <c r="C57" i="40"/>
  <c r="AL67" i="40"/>
  <c r="C67" i="40" s="1"/>
  <c r="AK16" i="33"/>
  <c r="AK25" i="33" s="1"/>
  <c r="AK71" i="40"/>
  <c r="AL25" i="32"/>
  <c r="AL32" i="32" s="1"/>
  <c r="C7" i="32"/>
  <c r="AL58" i="32"/>
  <c r="C40" i="32"/>
  <c r="AL24" i="32"/>
  <c r="AL31" i="32" s="1"/>
  <c r="C6" i="32"/>
  <c r="AL25" i="31"/>
  <c r="C7" i="31"/>
  <c r="AK15" i="33"/>
  <c r="AK24" i="33" s="1"/>
  <c r="AK70" i="40"/>
  <c r="AK14" i="33"/>
  <c r="AK65" i="40"/>
  <c r="AK69" i="40"/>
  <c r="AL23" i="32"/>
  <c r="C5" i="32"/>
  <c r="AL60" i="32"/>
  <c r="C42" i="32"/>
  <c r="AL62" i="31"/>
  <c r="AL66" i="31" s="1"/>
  <c r="AL72" i="31" s="1"/>
  <c r="C44" i="31"/>
  <c r="AJ72" i="40"/>
  <c r="C7" i="33"/>
  <c r="AI30" i="35"/>
  <c r="AI29" i="35"/>
  <c r="AL24" i="31"/>
  <c r="C6" i="31"/>
  <c r="AL61" i="31"/>
  <c r="AL65" i="31" s="1"/>
  <c r="AL71" i="31" s="1"/>
  <c r="C43" i="31"/>
  <c r="AJ17" i="33"/>
  <c r="AJ23" i="33"/>
  <c r="AJ26" i="33" s="1"/>
  <c r="AJ14" i="19" s="1"/>
  <c r="C6" i="33"/>
  <c r="AL23" i="31"/>
  <c r="C5" i="31"/>
  <c r="AL27" i="10"/>
  <c r="AL26" i="10"/>
  <c r="AL25" i="10"/>
  <c r="AK77" i="31"/>
  <c r="AK80" i="31" s="1"/>
  <c r="AK12" i="19" s="1"/>
  <c r="AK36" i="31"/>
  <c r="AL8" i="33"/>
  <c r="C8" i="33" s="1"/>
  <c r="C5" i="33"/>
  <c r="AL59" i="32"/>
  <c r="C41" i="32"/>
  <c r="AK73" i="32"/>
  <c r="AK13" i="19" s="1"/>
  <c r="AL15" i="4"/>
  <c r="AL49" i="6" s="1"/>
  <c r="AL50" i="6" s="1"/>
  <c r="AL55" i="6" s="1"/>
  <c r="AL21" i="4"/>
  <c r="AL23" i="4" s="1"/>
  <c r="AM5" i="7" s="1"/>
  <c r="C13" i="4"/>
  <c r="AI6" i="6"/>
  <c r="AI19" i="6"/>
  <c r="AI23" i="6" s="1"/>
  <c r="B185" i="38"/>
  <c r="AL5" i="3"/>
  <c r="C5" i="3" s="1"/>
  <c r="AK7" i="3"/>
  <c r="AK10" i="3" s="1"/>
  <c r="AK27" i="3"/>
  <c r="AJ29" i="3"/>
  <c r="AJ32" i="3" s="1"/>
  <c r="AK6" i="7" s="1"/>
  <c r="AK7" i="7" s="1"/>
  <c r="AJ38" i="3"/>
  <c r="AJ40" i="3" s="1"/>
  <c r="AJ43" i="3" s="1"/>
  <c r="AJ6" i="19" s="1"/>
  <c r="AH9" i="6"/>
  <c r="AH36" i="6"/>
  <c r="AH38" i="6" s="1"/>
  <c r="AH39" i="6" s="1"/>
  <c r="AM189" i="38"/>
  <c r="B189" i="38" s="1"/>
  <c r="AL30" i="34"/>
  <c r="AL43" i="34"/>
  <c r="AL17" i="34"/>
  <c r="D73" i="32"/>
  <c r="AK11" i="19" l="1"/>
  <c r="AK25" i="34"/>
  <c r="AK32" i="34"/>
  <c r="AK38" i="34" s="1"/>
  <c r="AL18" i="36"/>
  <c r="AL19" i="36"/>
  <c r="AJ29" i="35"/>
  <c r="AL61" i="40"/>
  <c r="AL62" i="40"/>
  <c r="AL63" i="40"/>
  <c r="C60" i="40"/>
  <c r="AL68" i="40"/>
  <c r="C68" i="40" s="1"/>
  <c r="AK17" i="33"/>
  <c r="AK23" i="33"/>
  <c r="AK26" i="33" s="1"/>
  <c r="AK14" i="19" s="1"/>
  <c r="AL65" i="32"/>
  <c r="C58" i="32"/>
  <c r="AL27" i="31"/>
  <c r="AL33" i="31" s="1"/>
  <c r="AL84" i="31"/>
  <c r="AL73" i="31"/>
  <c r="C32" i="32"/>
  <c r="C25" i="32"/>
  <c r="AL28" i="31"/>
  <c r="AL34" i="31" s="1"/>
  <c r="AL78" i="31" s="1"/>
  <c r="AL85" i="31"/>
  <c r="AL67" i="32"/>
  <c r="C67" i="32" s="1"/>
  <c r="C60" i="32"/>
  <c r="AL29" i="31"/>
  <c r="AL35" i="31" s="1"/>
  <c r="AL79" i="31" s="1"/>
  <c r="AL86" i="31"/>
  <c r="AL30" i="32"/>
  <c r="C23" i="32"/>
  <c r="AL66" i="32"/>
  <c r="C66" i="32" s="1"/>
  <c r="C59" i="32"/>
  <c r="AK72" i="40"/>
  <c r="C31" i="32"/>
  <c r="C24" i="32"/>
  <c r="AK19" i="35"/>
  <c r="AK25" i="35"/>
  <c r="AL21" i="6"/>
  <c r="AL7" i="6"/>
  <c r="AL33" i="6" s="1"/>
  <c r="AL34" i="6" s="1"/>
  <c r="AK38" i="3"/>
  <c r="AK40" i="3" s="1"/>
  <c r="AK43" i="3" s="1"/>
  <c r="AK6" i="19" s="1"/>
  <c r="AK29" i="3"/>
  <c r="AK32" i="3" s="1"/>
  <c r="AL6" i="7" s="1"/>
  <c r="AL7" i="7" s="1"/>
  <c r="AL7" i="3"/>
  <c r="AL10" i="3" s="1"/>
  <c r="AL27" i="3"/>
  <c r="AJ19" i="6"/>
  <c r="AJ23" i="6" s="1"/>
  <c r="AJ6" i="6"/>
  <c r="AI9" i="6"/>
  <c r="AI36" i="6"/>
  <c r="AI38" i="6" s="1"/>
  <c r="AI39" i="6" s="1"/>
  <c r="D13" i="19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O63" i="31"/>
  <c r="N63" i="31"/>
  <c r="M63" i="31"/>
  <c r="L63" i="31"/>
  <c r="K63" i="31"/>
  <c r="J63" i="31"/>
  <c r="I63" i="31"/>
  <c r="H63" i="31"/>
  <c r="G63" i="31"/>
  <c r="F63" i="31"/>
  <c r="E63" i="31"/>
  <c r="D63" i="31"/>
  <c r="AG62" i="31"/>
  <c r="AG66" i="31" s="1"/>
  <c r="AG72" i="31" s="1"/>
  <c r="AF62" i="31"/>
  <c r="AF66" i="31" s="1"/>
  <c r="AF72" i="31" s="1"/>
  <c r="AE62" i="31"/>
  <c r="AE66" i="31" s="1"/>
  <c r="AE72" i="31" s="1"/>
  <c r="AD62" i="31"/>
  <c r="AD66" i="31" s="1"/>
  <c r="AD72" i="31" s="1"/>
  <c r="AC62" i="31"/>
  <c r="AC66" i="31" s="1"/>
  <c r="AC72" i="31" s="1"/>
  <c r="AB62" i="31"/>
  <c r="AB66" i="31" s="1"/>
  <c r="AB72" i="31" s="1"/>
  <c r="AA62" i="31"/>
  <c r="AA66" i="31" s="1"/>
  <c r="AA72" i="31" s="1"/>
  <c r="Z62" i="31"/>
  <c r="Z66" i="31" s="1"/>
  <c r="Z72" i="31" s="1"/>
  <c r="Y62" i="31"/>
  <c r="Y66" i="31" s="1"/>
  <c r="Y72" i="31" s="1"/>
  <c r="X62" i="31"/>
  <c r="X66" i="31" s="1"/>
  <c r="X72" i="31" s="1"/>
  <c r="W62" i="31"/>
  <c r="W66" i="31" s="1"/>
  <c r="W72" i="31" s="1"/>
  <c r="V62" i="31"/>
  <c r="V66" i="31" s="1"/>
  <c r="V72" i="31" s="1"/>
  <c r="U62" i="31"/>
  <c r="U66" i="31" s="1"/>
  <c r="U72" i="31" s="1"/>
  <c r="T62" i="31"/>
  <c r="T66" i="31" s="1"/>
  <c r="T72" i="31" s="1"/>
  <c r="S62" i="31"/>
  <c r="S66" i="31" s="1"/>
  <c r="S72" i="31" s="1"/>
  <c r="R62" i="31"/>
  <c r="R66" i="31" s="1"/>
  <c r="R72" i="31" s="1"/>
  <c r="Q62" i="31"/>
  <c r="Q66" i="31" s="1"/>
  <c r="Q72" i="31" s="1"/>
  <c r="P62" i="31"/>
  <c r="P66" i="31" s="1"/>
  <c r="P72" i="31" s="1"/>
  <c r="O62" i="31"/>
  <c r="O66" i="31" s="1"/>
  <c r="O72" i="31" s="1"/>
  <c r="N62" i="31"/>
  <c r="N66" i="31" s="1"/>
  <c r="N72" i="31" s="1"/>
  <c r="M62" i="31"/>
  <c r="M66" i="31" s="1"/>
  <c r="M72" i="31" s="1"/>
  <c r="L62" i="31"/>
  <c r="L66" i="31" s="1"/>
  <c r="L72" i="31" s="1"/>
  <c r="K62" i="31"/>
  <c r="K66" i="31" s="1"/>
  <c r="K72" i="31" s="1"/>
  <c r="J62" i="31"/>
  <c r="J66" i="31" s="1"/>
  <c r="J72" i="31" s="1"/>
  <c r="I62" i="31"/>
  <c r="I66" i="31" s="1"/>
  <c r="I72" i="31" s="1"/>
  <c r="H62" i="31"/>
  <c r="H66" i="31" s="1"/>
  <c r="H72" i="31" s="1"/>
  <c r="G62" i="31"/>
  <c r="G66" i="31" s="1"/>
  <c r="G72" i="31" s="1"/>
  <c r="F62" i="31"/>
  <c r="F66" i="31" s="1"/>
  <c r="F72" i="31" s="1"/>
  <c r="E62" i="31"/>
  <c r="E66" i="31" s="1"/>
  <c r="E72" i="31" s="1"/>
  <c r="D62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S65" i="31" s="1"/>
  <c r="S71" i="31" s="1"/>
  <c r="R61" i="31"/>
  <c r="Q61" i="31"/>
  <c r="P61" i="31"/>
  <c r="O61" i="31"/>
  <c r="N61" i="31"/>
  <c r="M61" i="31"/>
  <c r="L61" i="31"/>
  <c r="K61" i="31"/>
  <c r="K65" i="31" s="1"/>
  <c r="K71" i="31" s="1"/>
  <c r="J61" i="31"/>
  <c r="I61" i="31"/>
  <c r="H61" i="31"/>
  <c r="G61" i="31"/>
  <c r="F61" i="31"/>
  <c r="E61" i="31"/>
  <c r="D61" i="31"/>
  <c r="AG60" i="31"/>
  <c r="AG64" i="31" s="1"/>
  <c r="AG70" i="31" s="1"/>
  <c r="AF60" i="31"/>
  <c r="AF64" i="31" s="1"/>
  <c r="AF70" i="31" s="1"/>
  <c r="AE60" i="31"/>
  <c r="AE64" i="31" s="1"/>
  <c r="AE70" i="31" s="1"/>
  <c r="AD60" i="31"/>
  <c r="AD64" i="31" s="1"/>
  <c r="AD70" i="31" s="1"/>
  <c r="AC60" i="31"/>
  <c r="AC64" i="31" s="1"/>
  <c r="AC70" i="31" s="1"/>
  <c r="AB60" i="31"/>
  <c r="AB64" i="31" s="1"/>
  <c r="AB70" i="31" s="1"/>
  <c r="AA60" i="31"/>
  <c r="AA64" i="31" s="1"/>
  <c r="AA70" i="31" s="1"/>
  <c r="Z60" i="31"/>
  <c r="Z64" i="31" s="1"/>
  <c r="Z70" i="31" s="1"/>
  <c r="Y60" i="31"/>
  <c r="Y64" i="31" s="1"/>
  <c r="Y70" i="31" s="1"/>
  <c r="X60" i="31"/>
  <c r="X64" i="31" s="1"/>
  <c r="X70" i="31" s="1"/>
  <c r="W60" i="31"/>
  <c r="W64" i="31" s="1"/>
  <c r="W70" i="31" s="1"/>
  <c r="V60" i="31"/>
  <c r="V64" i="31" s="1"/>
  <c r="V70" i="31" s="1"/>
  <c r="U60" i="31"/>
  <c r="U64" i="31" s="1"/>
  <c r="U70" i="31" s="1"/>
  <c r="T60" i="31"/>
  <c r="T64" i="31" s="1"/>
  <c r="T70" i="31" s="1"/>
  <c r="S60" i="31"/>
  <c r="S64" i="31" s="1"/>
  <c r="S70" i="31" s="1"/>
  <c r="R60" i="31"/>
  <c r="R64" i="31" s="1"/>
  <c r="R70" i="31" s="1"/>
  <c r="Q60" i="31"/>
  <c r="Q64" i="31" s="1"/>
  <c r="Q70" i="31" s="1"/>
  <c r="P60" i="31"/>
  <c r="P64" i="31" s="1"/>
  <c r="P70" i="31" s="1"/>
  <c r="O60" i="31"/>
  <c r="O64" i="31" s="1"/>
  <c r="O70" i="31" s="1"/>
  <c r="N60" i="31"/>
  <c r="N64" i="31" s="1"/>
  <c r="N70" i="31" s="1"/>
  <c r="M60" i="31"/>
  <c r="M64" i="31" s="1"/>
  <c r="M70" i="31" s="1"/>
  <c r="L60" i="31"/>
  <c r="L64" i="31" s="1"/>
  <c r="L70" i="31" s="1"/>
  <c r="K60" i="31"/>
  <c r="K64" i="31" s="1"/>
  <c r="K70" i="31" s="1"/>
  <c r="J60" i="31"/>
  <c r="J64" i="31" s="1"/>
  <c r="J70" i="31" s="1"/>
  <c r="I60" i="31"/>
  <c r="I64" i="31" s="1"/>
  <c r="I70" i="31" s="1"/>
  <c r="H60" i="31"/>
  <c r="H64" i="31" s="1"/>
  <c r="H70" i="31" s="1"/>
  <c r="G60" i="31"/>
  <c r="G64" i="31" s="1"/>
  <c r="G70" i="31" s="1"/>
  <c r="F60" i="31"/>
  <c r="F64" i="31" s="1"/>
  <c r="F70" i="31" s="1"/>
  <c r="E60" i="31"/>
  <c r="E64" i="31" s="1"/>
  <c r="E70" i="31" s="1"/>
  <c r="D60" i="31"/>
  <c r="AG26" i="31"/>
  <c r="AG87" i="31" s="1"/>
  <c r="AF26" i="31"/>
  <c r="AF87" i="31" s="1"/>
  <c r="AE26" i="31"/>
  <c r="AE87" i="31" s="1"/>
  <c r="AD26" i="31"/>
  <c r="AD87" i="31" s="1"/>
  <c r="AC26" i="31"/>
  <c r="AC87" i="31" s="1"/>
  <c r="AB26" i="31"/>
  <c r="AB87" i="31" s="1"/>
  <c r="AA26" i="31"/>
  <c r="AA87" i="31" s="1"/>
  <c r="Z26" i="31"/>
  <c r="Z87" i="31" s="1"/>
  <c r="Y26" i="31"/>
  <c r="Y87" i="31" s="1"/>
  <c r="X26" i="31"/>
  <c r="X87" i="31" s="1"/>
  <c r="W26" i="31"/>
  <c r="W87" i="31" s="1"/>
  <c r="V26" i="31"/>
  <c r="V87" i="31" s="1"/>
  <c r="U26" i="31"/>
  <c r="U87" i="31" s="1"/>
  <c r="T26" i="31"/>
  <c r="T87" i="31" s="1"/>
  <c r="S26" i="31"/>
  <c r="S87" i="31" s="1"/>
  <c r="R26" i="31"/>
  <c r="R87" i="31" s="1"/>
  <c r="Q26" i="31"/>
  <c r="Q87" i="31" s="1"/>
  <c r="P26" i="31"/>
  <c r="P87" i="31" s="1"/>
  <c r="O26" i="31"/>
  <c r="O87" i="31" s="1"/>
  <c r="N26" i="31"/>
  <c r="N87" i="31" s="1"/>
  <c r="M26" i="31"/>
  <c r="M87" i="31" s="1"/>
  <c r="L26" i="31"/>
  <c r="L87" i="31" s="1"/>
  <c r="K26" i="31"/>
  <c r="K87" i="31" s="1"/>
  <c r="J26" i="31"/>
  <c r="J87" i="31" s="1"/>
  <c r="I26" i="31"/>
  <c r="I87" i="31" s="1"/>
  <c r="H26" i="31"/>
  <c r="H87" i="31" s="1"/>
  <c r="G26" i="31"/>
  <c r="G87" i="31" s="1"/>
  <c r="F26" i="31"/>
  <c r="F87" i="31" s="1"/>
  <c r="E26" i="31"/>
  <c r="D26" i="31"/>
  <c r="AG25" i="31"/>
  <c r="AG86" i="31" s="1"/>
  <c r="AF25" i="31"/>
  <c r="AE25" i="31"/>
  <c r="AD25" i="31"/>
  <c r="AC25" i="31"/>
  <c r="AC86" i="31" s="1"/>
  <c r="AB25" i="31"/>
  <c r="AB86" i="31" s="1"/>
  <c r="AA25" i="31"/>
  <c r="AA86" i="31" s="1"/>
  <c r="Z25" i="31"/>
  <c r="Z86" i="31" s="1"/>
  <c r="Y25" i="31"/>
  <c r="X25" i="31"/>
  <c r="W25" i="31"/>
  <c r="V25" i="31"/>
  <c r="U25" i="31"/>
  <c r="T25" i="31"/>
  <c r="S25" i="31"/>
  <c r="S86" i="31" s="1"/>
  <c r="R25" i="31"/>
  <c r="R86" i="31" s="1"/>
  <c r="Q25" i="31"/>
  <c r="P25" i="31"/>
  <c r="O25" i="31"/>
  <c r="N25" i="31"/>
  <c r="M25" i="31"/>
  <c r="M86" i="31" s="1"/>
  <c r="L25" i="31"/>
  <c r="L86" i="31" s="1"/>
  <c r="K25" i="31"/>
  <c r="K86" i="31" s="1"/>
  <c r="J25" i="31"/>
  <c r="I25" i="31"/>
  <c r="H25" i="31"/>
  <c r="G25" i="31"/>
  <c r="G86" i="31" s="1"/>
  <c r="F25" i="31"/>
  <c r="F86" i="31" s="1"/>
  <c r="E25" i="31"/>
  <c r="E86" i="31" s="1"/>
  <c r="D25" i="31"/>
  <c r="AG24" i="31"/>
  <c r="AG85" i="31" s="1"/>
  <c r="AF24" i="31"/>
  <c r="AF85" i="31" s="1"/>
  <c r="AE24" i="31"/>
  <c r="AE85" i="31" s="1"/>
  <c r="AD24" i="31"/>
  <c r="AD85" i="31" s="1"/>
  <c r="AC24" i="31"/>
  <c r="AB24" i="31"/>
  <c r="AA24" i="31"/>
  <c r="Z24" i="31"/>
  <c r="Z85" i="31" s="1"/>
  <c r="Y24" i="31"/>
  <c r="X24" i="31"/>
  <c r="X85" i="31" s="1"/>
  <c r="W24" i="31"/>
  <c r="W85" i="31" s="1"/>
  <c r="V24" i="31"/>
  <c r="V85" i="31" s="1"/>
  <c r="U24" i="31"/>
  <c r="T24" i="31"/>
  <c r="T85" i="31" s="1"/>
  <c r="S24" i="31"/>
  <c r="S85" i="31" s="1"/>
  <c r="R24" i="31"/>
  <c r="R85" i="31" s="1"/>
  <c r="Q24" i="31"/>
  <c r="Q85" i="31" s="1"/>
  <c r="P24" i="31"/>
  <c r="P85" i="31" s="1"/>
  <c r="O24" i="31"/>
  <c r="N24" i="31"/>
  <c r="N85" i="31" s="1"/>
  <c r="M24" i="31"/>
  <c r="M85" i="31" s="1"/>
  <c r="L24" i="31"/>
  <c r="K24" i="31"/>
  <c r="K85" i="31" s="1"/>
  <c r="J24" i="31"/>
  <c r="J85" i="31" s="1"/>
  <c r="I24" i="31"/>
  <c r="I85" i="31" s="1"/>
  <c r="H24" i="31"/>
  <c r="H85" i="31" s="1"/>
  <c r="G24" i="31"/>
  <c r="G85" i="31" s="1"/>
  <c r="F24" i="31"/>
  <c r="F85" i="31" s="1"/>
  <c r="E24" i="31"/>
  <c r="E85" i="31" s="1"/>
  <c r="D24" i="31"/>
  <c r="AG23" i="31"/>
  <c r="AG84" i="31" s="1"/>
  <c r="AF23" i="31"/>
  <c r="AF84" i="31" s="1"/>
  <c r="AE23" i="31"/>
  <c r="AE84" i="31" s="1"/>
  <c r="AD23" i="31"/>
  <c r="AD84" i="31" s="1"/>
  <c r="AC23" i="31"/>
  <c r="AC84" i="31" s="1"/>
  <c r="AB23" i="31"/>
  <c r="AA23" i="31"/>
  <c r="Z23" i="31"/>
  <c r="Y23" i="31"/>
  <c r="Y84" i="31" s="1"/>
  <c r="X23" i="31"/>
  <c r="X84" i="31" s="1"/>
  <c r="W23" i="31"/>
  <c r="W84" i="31" s="1"/>
  <c r="V23" i="31"/>
  <c r="V84" i="31" s="1"/>
  <c r="U23" i="31"/>
  <c r="U84" i="31" s="1"/>
  <c r="T23" i="31"/>
  <c r="T84" i="31" s="1"/>
  <c r="S23" i="31"/>
  <c r="R23" i="31"/>
  <c r="Q23" i="31"/>
  <c r="Q84" i="31" s="1"/>
  <c r="P23" i="31"/>
  <c r="O23" i="31"/>
  <c r="N23" i="31"/>
  <c r="M23" i="31"/>
  <c r="M84" i="31" s="1"/>
  <c r="L23" i="31"/>
  <c r="L84" i="31" s="1"/>
  <c r="K23" i="31"/>
  <c r="K84" i="31" s="1"/>
  <c r="J23" i="31"/>
  <c r="J84" i="31" s="1"/>
  <c r="I23" i="31"/>
  <c r="I84" i="31" s="1"/>
  <c r="H23" i="31"/>
  <c r="H84" i="31" s="1"/>
  <c r="G23" i="31"/>
  <c r="G84" i="31" s="1"/>
  <c r="F23" i="31"/>
  <c r="F84" i="31" s="1"/>
  <c r="E23" i="31"/>
  <c r="E84" i="31" s="1"/>
  <c r="D23" i="31"/>
  <c r="D13" i="31"/>
  <c r="AG41" i="10"/>
  <c r="AG44" i="10" s="1"/>
  <c r="AF41" i="10"/>
  <c r="AF43" i="10" s="1"/>
  <c r="AE41" i="10"/>
  <c r="AE43" i="10" s="1"/>
  <c r="AD41" i="10"/>
  <c r="AD44" i="10" s="1"/>
  <c r="AC41" i="10"/>
  <c r="AC44" i="10" s="1"/>
  <c r="AB41" i="10"/>
  <c r="AB43" i="10" s="1"/>
  <c r="AA41" i="10"/>
  <c r="AA42" i="10" s="1"/>
  <c r="Z41" i="10"/>
  <c r="Z42" i="10" s="1"/>
  <c r="Y41" i="10"/>
  <c r="Y44" i="10" s="1"/>
  <c r="X41" i="10"/>
  <c r="X44" i="10" s="1"/>
  <c r="W41" i="10"/>
  <c r="W44" i="10" s="1"/>
  <c r="V41" i="10"/>
  <c r="V42" i="10" s="1"/>
  <c r="U41" i="10"/>
  <c r="U44" i="10" s="1"/>
  <c r="T41" i="10"/>
  <c r="T43" i="10" s="1"/>
  <c r="S41" i="10"/>
  <c r="S43" i="10" s="1"/>
  <c r="R41" i="10"/>
  <c r="R44" i="10" s="1"/>
  <c r="Q41" i="10"/>
  <c r="Q44" i="10" s="1"/>
  <c r="P41" i="10"/>
  <c r="P43" i="10" s="1"/>
  <c r="O41" i="10"/>
  <c r="O42" i="10" s="1"/>
  <c r="N41" i="10"/>
  <c r="N42" i="10" s="1"/>
  <c r="M41" i="10"/>
  <c r="M44" i="10" s="1"/>
  <c r="L41" i="10"/>
  <c r="L44" i="10" s="1"/>
  <c r="K41" i="10"/>
  <c r="K44" i="10" s="1"/>
  <c r="J41" i="10"/>
  <c r="J42" i="10" s="1"/>
  <c r="I41" i="10"/>
  <c r="I44" i="10" s="1"/>
  <c r="H41" i="10"/>
  <c r="H43" i="10" s="1"/>
  <c r="G41" i="10"/>
  <c r="G43" i="10" s="1"/>
  <c r="F41" i="10"/>
  <c r="F44" i="10" s="1"/>
  <c r="E41" i="10"/>
  <c r="E44" i="10" s="1"/>
  <c r="D41" i="10"/>
  <c r="C40" i="10" s="1"/>
  <c r="AG24" i="10"/>
  <c r="AG27" i="10" s="1"/>
  <c r="AF24" i="10"/>
  <c r="AF26" i="10" s="1"/>
  <c r="AE24" i="10"/>
  <c r="AE26" i="10" s="1"/>
  <c r="AD24" i="10"/>
  <c r="AD26" i="10" s="1"/>
  <c r="AC24" i="10"/>
  <c r="AC26" i="10" s="1"/>
  <c r="AB24" i="10"/>
  <c r="AB26" i="10" s="1"/>
  <c r="AA24" i="10"/>
  <c r="AA25" i="10" s="1"/>
  <c r="Z24" i="10"/>
  <c r="Z25" i="10" s="1"/>
  <c r="Y24" i="10"/>
  <c r="Y27" i="10" s="1"/>
  <c r="X24" i="10"/>
  <c r="X27" i="10" s="1"/>
  <c r="W24" i="10"/>
  <c r="W27" i="10" s="1"/>
  <c r="V24" i="10"/>
  <c r="V25" i="10" s="1"/>
  <c r="U24" i="10"/>
  <c r="U27" i="10" s="1"/>
  <c r="T24" i="10"/>
  <c r="T26" i="10" s="1"/>
  <c r="S24" i="10"/>
  <c r="S26" i="10" s="1"/>
  <c r="R24" i="10"/>
  <c r="R26" i="10" s="1"/>
  <c r="Q24" i="10"/>
  <c r="Q26" i="10" s="1"/>
  <c r="P24" i="10"/>
  <c r="P26" i="10" s="1"/>
  <c r="O24" i="10"/>
  <c r="O25" i="10" s="1"/>
  <c r="N24" i="10"/>
  <c r="N25" i="10" s="1"/>
  <c r="M24" i="10"/>
  <c r="M27" i="10" s="1"/>
  <c r="L24" i="10"/>
  <c r="L27" i="10" s="1"/>
  <c r="K24" i="10"/>
  <c r="K27" i="10" s="1"/>
  <c r="J24" i="10"/>
  <c r="J25" i="10" s="1"/>
  <c r="I24" i="10"/>
  <c r="I27" i="10" s="1"/>
  <c r="H24" i="10"/>
  <c r="H26" i="10" s="1"/>
  <c r="G24" i="10"/>
  <c r="F24" i="10"/>
  <c r="F26" i="10" s="1"/>
  <c r="E24" i="10"/>
  <c r="E26" i="10" s="1"/>
  <c r="D24" i="7"/>
  <c r="I24" i="7" s="1"/>
  <c r="C14" i="9"/>
  <c r="K24" i="34" l="1"/>
  <c r="K37" i="34" s="1"/>
  <c r="K18" i="35"/>
  <c r="K28" i="35" s="1"/>
  <c r="J24" i="34"/>
  <c r="J18" i="35"/>
  <c r="F28" i="35"/>
  <c r="L18" i="35"/>
  <c r="L28" i="35" s="1"/>
  <c r="T18" i="35"/>
  <c r="T24" i="34"/>
  <c r="T37" i="34" s="1"/>
  <c r="F24" i="34"/>
  <c r="F18" i="35"/>
  <c r="E18" i="35"/>
  <c r="E28" i="35" s="1"/>
  <c r="E24" i="34"/>
  <c r="M18" i="35"/>
  <c r="M28" i="35" s="1"/>
  <c r="M24" i="34"/>
  <c r="U18" i="35"/>
  <c r="AC18" i="35"/>
  <c r="AC28" i="35" s="1"/>
  <c r="AD24" i="34"/>
  <c r="AD37" i="34" s="1"/>
  <c r="AD18" i="35"/>
  <c r="G24" i="34"/>
  <c r="G37" i="34" s="1"/>
  <c r="G18" i="35"/>
  <c r="G28" i="35" s="1"/>
  <c r="W24" i="34"/>
  <c r="W18" i="35"/>
  <c r="AE18" i="35"/>
  <c r="AE24" i="34"/>
  <c r="AE37" i="34" s="1"/>
  <c r="H24" i="34"/>
  <c r="H18" i="35"/>
  <c r="X24" i="34"/>
  <c r="X18" i="35"/>
  <c r="AF24" i="34"/>
  <c r="AF18" i="35"/>
  <c r="V24" i="34"/>
  <c r="V18" i="35"/>
  <c r="I24" i="34"/>
  <c r="I18" i="35"/>
  <c r="Q24" i="34"/>
  <c r="Q37" i="34" s="1"/>
  <c r="Q18" i="35"/>
  <c r="Y18" i="35"/>
  <c r="AG24" i="34"/>
  <c r="AG37" i="34" s="1"/>
  <c r="AG18" i="35"/>
  <c r="AG28" i="35" s="1"/>
  <c r="AL24" i="34"/>
  <c r="AL37" i="34" s="1"/>
  <c r="AL18" i="35"/>
  <c r="AL28" i="35" s="1"/>
  <c r="G26" i="10"/>
  <c r="U85" i="31"/>
  <c r="U24" i="34" s="1"/>
  <c r="U37" i="34" s="1"/>
  <c r="V86" i="31"/>
  <c r="Y85" i="31"/>
  <c r="Y19" i="34" s="1"/>
  <c r="H86" i="31"/>
  <c r="R84" i="31"/>
  <c r="U86" i="31"/>
  <c r="J86" i="31"/>
  <c r="I86" i="31"/>
  <c r="Y86" i="31"/>
  <c r="L85" i="31"/>
  <c r="L19" i="34" s="1"/>
  <c r="P86" i="31"/>
  <c r="AF86" i="31"/>
  <c r="Q86" i="31"/>
  <c r="AC85" i="31"/>
  <c r="AC22" i="34" s="1"/>
  <c r="AC35" i="34" s="1"/>
  <c r="AE86" i="31"/>
  <c r="X86" i="31"/>
  <c r="N86" i="31"/>
  <c r="S84" i="31"/>
  <c r="W86" i="31"/>
  <c r="W28" i="35" s="1"/>
  <c r="AB85" i="31"/>
  <c r="O86" i="31"/>
  <c r="E37" i="34"/>
  <c r="F37" i="34"/>
  <c r="E19" i="34"/>
  <c r="E32" i="34" s="1"/>
  <c r="E22" i="34"/>
  <c r="E35" i="34" s="1"/>
  <c r="E23" i="34"/>
  <c r="E36" i="34" s="1"/>
  <c r="E21" i="34"/>
  <c r="E34" i="34" s="1"/>
  <c r="F21" i="34"/>
  <c r="F34" i="34" s="1"/>
  <c r="F19" i="34"/>
  <c r="F32" i="34" s="1"/>
  <c r="F22" i="34"/>
  <c r="F35" i="34" s="1"/>
  <c r="F23" i="34"/>
  <c r="F36" i="34" s="1"/>
  <c r="AD86" i="31"/>
  <c r="I23" i="34"/>
  <c r="I36" i="34" s="1"/>
  <c r="I19" i="34"/>
  <c r="I22" i="34"/>
  <c r="I35" i="34" s="1"/>
  <c r="I21" i="34"/>
  <c r="I34" i="34" s="1"/>
  <c r="Q23" i="34"/>
  <c r="Q36" i="34" s="1"/>
  <c r="Q19" i="34"/>
  <c r="Q21" i="34"/>
  <c r="Q34" i="34" s="1"/>
  <c r="Q22" i="34"/>
  <c r="Q35" i="34" s="1"/>
  <c r="AG23" i="34"/>
  <c r="AG36" i="34" s="1"/>
  <c r="AG19" i="34"/>
  <c r="AG21" i="34"/>
  <c r="AG34" i="34" s="1"/>
  <c r="AG22" i="34"/>
  <c r="AG35" i="34" s="1"/>
  <c r="AL21" i="34"/>
  <c r="AL34" i="34" s="1"/>
  <c r="AL22" i="34"/>
  <c r="AL35" i="34" s="1"/>
  <c r="AL23" i="34"/>
  <c r="AL36" i="34" s="1"/>
  <c r="AL19" i="34"/>
  <c r="J22" i="34"/>
  <c r="J35" i="34" s="1"/>
  <c r="J23" i="34"/>
  <c r="J36" i="34" s="1"/>
  <c r="J19" i="34"/>
  <c r="J37" i="34"/>
  <c r="J21" i="34"/>
  <c r="J34" i="34" s="1"/>
  <c r="AI37" i="34"/>
  <c r="AI38" i="34" s="1"/>
  <c r="AI25" i="34"/>
  <c r="T21" i="34"/>
  <c r="T34" i="34" s="1"/>
  <c r="T22" i="34"/>
  <c r="T35" i="34" s="1"/>
  <c r="T23" i="34"/>
  <c r="T36" i="34" s="1"/>
  <c r="T19" i="34"/>
  <c r="M21" i="34"/>
  <c r="M34" i="34" s="1"/>
  <c r="M22" i="34"/>
  <c r="M35" i="34" s="1"/>
  <c r="M23" i="34"/>
  <c r="M36" i="34" s="1"/>
  <c r="M19" i="34"/>
  <c r="M37" i="34"/>
  <c r="U21" i="34"/>
  <c r="U34" i="34" s="1"/>
  <c r="U22" i="34"/>
  <c r="U35" i="34" s="1"/>
  <c r="U23" i="34"/>
  <c r="U36" i="34" s="1"/>
  <c r="U19" i="34"/>
  <c r="AL31" i="36"/>
  <c r="C31" i="36" s="1"/>
  <c r="C19" i="36"/>
  <c r="V21" i="34"/>
  <c r="V34" i="34" s="1"/>
  <c r="V22" i="34"/>
  <c r="V35" i="34" s="1"/>
  <c r="V23" i="34"/>
  <c r="V36" i="34" s="1"/>
  <c r="V19" i="34"/>
  <c r="AD21" i="34"/>
  <c r="AD34" i="34" s="1"/>
  <c r="AD22" i="34"/>
  <c r="AD35" i="34" s="1"/>
  <c r="AD23" i="34"/>
  <c r="AD36" i="34" s="1"/>
  <c r="AD19" i="34"/>
  <c r="AL30" i="36"/>
  <c r="AL23" i="36"/>
  <c r="C23" i="36" s="1"/>
  <c r="C18" i="36"/>
  <c r="K22" i="34"/>
  <c r="K35" i="34" s="1"/>
  <c r="K23" i="34"/>
  <c r="K36" i="34" s="1"/>
  <c r="K19" i="34"/>
  <c r="K21" i="34"/>
  <c r="K34" i="34" s="1"/>
  <c r="G21" i="34"/>
  <c r="G22" i="34"/>
  <c r="G23" i="34"/>
  <c r="G19" i="34"/>
  <c r="W37" i="34"/>
  <c r="W21" i="34"/>
  <c r="W34" i="34" s="1"/>
  <c r="W19" i="34"/>
  <c r="W22" i="34"/>
  <c r="W35" i="34" s="1"/>
  <c r="W23" i="34"/>
  <c r="W36" i="34" s="1"/>
  <c r="AE23" i="34"/>
  <c r="AE36" i="34" s="1"/>
  <c r="AE21" i="34"/>
  <c r="AE34" i="34" s="1"/>
  <c r="AE22" i="34"/>
  <c r="AE35" i="34" s="1"/>
  <c r="AE19" i="34"/>
  <c r="H23" i="34"/>
  <c r="H36" i="34" s="1"/>
  <c r="H19" i="34"/>
  <c r="H37" i="34"/>
  <c r="H21" i="34"/>
  <c r="H34" i="34" s="1"/>
  <c r="H22" i="34"/>
  <c r="H35" i="34" s="1"/>
  <c r="X23" i="34"/>
  <c r="X36" i="34" s="1"/>
  <c r="X19" i="34"/>
  <c r="X21" i="34"/>
  <c r="X34" i="34" s="1"/>
  <c r="X22" i="34"/>
  <c r="X35" i="34" s="1"/>
  <c r="AF23" i="34"/>
  <c r="AF36" i="34" s="1"/>
  <c r="AF19" i="34"/>
  <c r="AF37" i="34"/>
  <c r="AF21" i="34"/>
  <c r="AF34" i="34" s="1"/>
  <c r="AF22" i="34"/>
  <c r="AF35" i="34" s="1"/>
  <c r="F17" i="35"/>
  <c r="F27" i="35" s="1"/>
  <c r="F16" i="35"/>
  <c r="F26" i="35" s="1"/>
  <c r="F15" i="35"/>
  <c r="V15" i="35"/>
  <c r="V17" i="35"/>
  <c r="V27" i="35" s="1"/>
  <c r="V16" i="35"/>
  <c r="V26" i="35" s="1"/>
  <c r="AD17" i="35"/>
  <c r="AD27" i="35" s="1"/>
  <c r="AD16" i="35"/>
  <c r="AD26" i="35" s="1"/>
  <c r="AD15" i="35"/>
  <c r="AL69" i="32"/>
  <c r="C65" i="32"/>
  <c r="G15" i="35"/>
  <c r="G17" i="35"/>
  <c r="G27" i="35" s="1"/>
  <c r="G16" i="35"/>
  <c r="G26" i="35" s="1"/>
  <c r="W16" i="35"/>
  <c r="W26" i="35" s="1"/>
  <c r="W15" i="35"/>
  <c r="W17" i="35"/>
  <c r="W27" i="35" s="1"/>
  <c r="AE17" i="35"/>
  <c r="AE27" i="35" s="1"/>
  <c r="AE16" i="35"/>
  <c r="AE26" i="35" s="1"/>
  <c r="AE15" i="35"/>
  <c r="AK29" i="35"/>
  <c r="AK30" i="35"/>
  <c r="AL34" i="32"/>
  <c r="C34" i="32" s="1"/>
  <c r="C30" i="32"/>
  <c r="I16" i="35"/>
  <c r="I26" i="35" s="1"/>
  <c r="I15" i="35"/>
  <c r="I17" i="35"/>
  <c r="I27" i="35" s="1"/>
  <c r="Q16" i="35"/>
  <c r="Q26" i="35" s="1"/>
  <c r="Q17" i="35"/>
  <c r="Q27" i="35" s="1"/>
  <c r="Q15" i="35"/>
  <c r="AG15" i="35"/>
  <c r="AG16" i="35"/>
  <c r="AG26" i="35" s="1"/>
  <c r="AG17" i="35"/>
  <c r="AG27" i="35" s="1"/>
  <c r="H17" i="35"/>
  <c r="H27" i="35" s="1"/>
  <c r="H16" i="35"/>
  <c r="H26" i="35" s="1"/>
  <c r="H15" i="35"/>
  <c r="T86" i="31"/>
  <c r="J17" i="35"/>
  <c r="J27" i="35" s="1"/>
  <c r="J16" i="35"/>
  <c r="J26" i="35" s="1"/>
  <c r="J15" i="35"/>
  <c r="K16" i="35"/>
  <c r="K26" i="35" s="1"/>
  <c r="K17" i="35"/>
  <c r="K27" i="35" s="1"/>
  <c r="K15" i="35"/>
  <c r="AL16" i="35"/>
  <c r="AL26" i="35" s="1"/>
  <c r="AL17" i="35"/>
  <c r="AL27" i="35" s="1"/>
  <c r="AL15" i="35"/>
  <c r="AL16" i="33"/>
  <c r="C63" i="40"/>
  <c r="AL71" i="40"/>
  <c r="C71" i="40" s="1"/>
  <c r="AF17" i="35"/>
  <c r="AF27" i="35" s="1"/>
  <c r="AF16" i="35"/>
  <c r="AF26" i="35" s="1"/>
  <c r="AF15" i="35"/>
  <c r="T16" i="35"/>
  <c r="T26" i="35" s="1"/>
  <c r="T15" i="35"/>
  <c r="T17" i="35"/>
  <c r="T27" i="35" s="1"/>
  <c r="AL77" i="31"/>
  <c r="AL80" i="31" s="1"/>
  <c r="AL12" i="19" s="1"/>
  <c r="AL36" i="31"/>
  <c r="AL15" i="33"/>
  <c r="C62" i="40"/>
  <c r="AL70" i="40"/>
  <c r="C70" i="40" s="1"/>
  <c r="X16" i="35"/>
  <c r="X26" i="35" s="1"/>
  <c r="X17" i="35"/>
  <c r="X27" i="35" s="1"/>
  <c r="X15" i="35"/>
  <c r="E17" i="35"/>
  <c r="E27" i="35" s="1"/>
  <c r="E15" i="35"/>
  <c r="E16" i="35"/>
  <c r="E26" i="35" s="1"/>
  <c r="M17" i="35"/>
  <c r="M27" i="35" s="1"/>
  <c r="M15" i="35"/>
  <c r="M16" i="35"/>
  <c r="M26" i="35" s="1"/>
  <c r="U16" i="35"/>
  <c r="U26" i="35" s="1"/>
  <c r="U17" i="35"/>
  <c r="U27" i="35" s="1"/>
  <c r="U15" i="35"/>
  <c r="AL14" i="33"/>
  <c r="AL65" i="40"/>
  <c r="C65" i="40" s="1"/>
  <c r="C61" i="40"/>
  <c r="AL69" i="40"/>
  <c r="F65" i="31"/>
  <c r="F71" i="31" s="1"/>
  <c r="F73" i="31" s="1"/>
  <c r="N65" i="31"/>
  <c r="N71" i="31" s="1"/>
  <c r="N73" i="31" s="1"/>
  <c r="G65" i="31"/>
  <c r="G71" i="31" s="1"/>
  <c r="G73" i="31" s="1"/>
  <c r="O65" i="31"/>
  <c r="O71" i="31" s="1"/>
  <c r="O73" i="31" s="1"/>
  <c r="E87" i="31"/>
  <c r="AD65" i="31"/>
  <c r="AD71" i="31" s="1"/>
  <c r="AD73" i="31" s="1"/>
  <c r="AE65" i="31"/>
  <c r="AE71" i="31" s="1"/>
  <c r="AE73" i="31" s="1"/>
  <c r="E65" i="31"/>
  <c r="E71" i="31" s="1"/>
  <c r="E73" i="31" s="1"/>
  <c r="U65" i="31"/>
  <c r="U71" i="31" s="1"/>
  <c r="U73" i="31" s="1"/>
  <c r="AC65" i="31"/>
  <c r="AC71" i="31" s="1"/>
  <c r="AC73" i="31" s="1"/>
  <c r="AJ36" i="6"/>
  <c r="AJ38" i="6" s="1"/>
  <c r="AJ39" i="6" s="1"/>
  <c r="AJ9" i="6"/>
  <c r="AL38" i="3"/>
  <c r="AL40" i="3" s="1"/>
  <c r="AL43" i="3" s="1"/>
  <c r="AL6" i="19" s="1"/>
  <c r="AL29" i="3"/>
  <c r="AL32" i="3" s="1"/>
  <c r="AM6" i="7" s="1"/>
  <c r="AK19" i="6"/>
  <c r="AK23" i="6" s="1"/>
  <c r="AK6" i="6"/>
  <c r="D43" i="10"/>
  <c r="O28" i="31"/>
  <c r="O34" i="31" s="1"/>
  <c r="O85" i="31"/>
  <c r="AB27" i="31"/>
  <c r="AB33" i="31" s="1"/>
  <c r="AB77" i="31" s="1"/>
  <c r="AB84" i="31"/>
  <c r="N27" i="31"/>
  <c r="N33" i="31" s="1"/>
  <c r="N77" i="31" s="1"/>
  <c r="N84" i="31"/>
  <c r="D87" i="31"/>
  <c r="C26" i="31"/>
  <c r="C63" i="31"/>
  <c r="C23" i="31"/>
  <c r="O27" i="31"/>
  <c r="O33" i="31" s="1"/>
  <c r="O77" i="31" s="1"/>
  <c r="O84" i="31"/>
  <c r="I65" i="31"/>
  <c r="I71" i="31" s="1"/>
  <c r="Q65" i="31"/>
  <c r="Q71" i="31" s="1"/>
  <c r="Q73" i="31" s="1"/>
  <c r="P27" i="31"/>
  <c r="P33" i="31" s="1"/>
  <c r="P77" i="31" s="1"/>
  <c r="P84" i="31"/>
  <c r="C25" i="31"/>
  <c r="R65" i="31"/>
  <c r="R71" i="31" s="1"/>
  <c r="R73" i="31" s="1"/>
  <c r="D66" i="31"/>
  <c r="C62" i="31"/>
  <c r="AA27" i="31"/>
  <c r="AA33" i="31" s="1"/>
  <c r="AA77" i="31" s="1"/>
  <c r="AA84" i="31"/>
  <c r="D64" i="31"/>
  <c r="C60" i="31"/>
  <c r="AA28" i="31"/>
  <c r="AA34" i="31" s="1"/>
  <c r="AA85" i="31"/>
  <c r="X37" i="34" s="1"/>
  <c r="Z27" i="31"/>
  <c r="Z33" i="31" s="1"/>
  <c r="Z77" i="31" s="1"/>
  <c r="Z84" i="31"/>
  <c r="D85" i="31"/>
  <c r="C24" i="31"/>
  <c r="C61" i="31"/>
  <c r="W65" i="31"/>
  <c r="W71" i="31" s="1"/>
  <c r="W73" i="31" s="1"/>
  <c r="M65" i="31"/>
  <c r="M71" i="31" s="1"/>
  <c r="M73" i="31" s="1"/>
  <c r="X65" i="31"/>
  <c r="X71" i="31" s="1"/>
  <c r="X73" i="31" s="1"/>
  <c r="V65" i="31"/>
  <c r="V71" i="31" s="1"/>
  <c r="V73" i="31" s="1"/>
  <c r="J65" i="31"/>
  <c r="J71" i="31" s="1"/>
  <c r="J73" i="31" s="1"/>
  <c r="P29" i="31"/>
  <c r="P35" i="31" s="1"/>
  <c r="P79" i="31" s="1"/>
  <c r="AB29" i="31"/>
  <c r="AB35" i="31" s="1"/>
  <c r="AB79" i="31" s="1"/>
  <c r="H29" i="31"/>
  <c r="H35" i="31" s="1"/>
  <c r="H79" i="31" s="1"/>
  <c r="T29" i="31"/>
  <c r="T35" i="31" s="1"/>
  <c r="T79" i="31" s="1"/>
  <c r="AF29" i="31"/>
  <c r="AF35" i="31" s="1"/>
  <c r="AF79" i="31" s="1"/>
  <c r="D29" i="31"/>
  <c r="D86" i="31"/>
  <c r="D84" i="31"/>
  <c r="Z65" i="31"/>
  <c r="Z71" i="31" s="1"/>
  <c r="Z73" i="31" s="1"/>
  <c r="Y65" i="31"/>
  <c r="Y71" i="31" s="1"/>
  <c r="Y73" i="31" s="1"/>
  <c r="L65" i="31"/>
  <c r="L71" i="31" s="1"/>
  <c r="L73" i="31" s="1"/>
  <c r="AA65" i="31"/>
  <c r="AA71" i="31" s="1"/>
  <c r="AA73" i="31" s="1"/>
  <c r="AG65" i="31"/>
  <c r="AG71" i="31" s="1"/>
  <c r="AG73" i="31" s="1"/>
  <c r="G28" i="31"/>
  <c r="G34" i="31" s="1"/>
  <c r="S28" i="31"/>
  <c r="AE28" i="31"/>
  <c r="P65" i="31"/>
  <c r="AB65" i="31"/>
  <c r="AB71" i="31" s="1"/>
  <c r="AB73" i="31" s="1"/>
  <c r="H65" i="31"/>
  <c r="T65" i="31"/>
  <c r="AF65" i="31"/>
  <c r="N28" i="31"/>
  <c r="N34" i="31" s="1"/>
  <c r="Z28" i="31"/>
  <c r="Z34" i="31" s="1"/>
  <c r="D65" i="31"/>
  <c r="E28" i="31"/>
  <c r="E34" i="31" s="1"/>
  <c r="Q28" i="31"/>
  <c r="Q34" i="31" s="1"/>
  <c r="AC28" i="31"/>
  <c r="AC34" i="31" s="1"/>
  <c r="M28" i="31"/>
  <c r="M34" i="31" s="1"/>
  <c r="Y28" i="31"/>
  <c r="Y34" i="31" s="1"/>
  <c r="I28" i="31"/>
  <c r="I34" i="31" s="1"/>
  <c r="U28" i="31"/>
  <c r="U34" i="31" s="1"/>
  <c r="AG28" i="31"/>
  <c r="AG34" i="31" s="1"/>
  <c r="J28" i="31"/>
  <c r="V28" i="31"/>
  <c r="K28" i="31"/>
  <c r="K34" i="31" s="1"/>
  <c r="K78" i="31" s="1"/>
  <c r="W28" i="31"/>
  <c r="W34" i="31" s="1"/>
  <c r="L28" i="31"/>
  <c r="L34" i="31" s="1"/>
  <c r="X28" i="31"/>
  <c r="X34" i="31" s="1"/>
  <c r="D28" i="31"/>
  <c r="P28" i="31"/>
  <c r="P34" i="31" s="1"/>
  <c r="AB28" i="31"/>
  <c r="AB34" i="31" s="1"/>
  <c r="F28" i="31"/>
  <c r="F34" i="31" s="1"/>
  <c r="R28" i="31"/>
  <c r="R34" i="31" s="1"/>
  <c r="AD28" i="31"/>
  <c r="AD34" i="31" s="1"/>
  <c r="H28" i="31"/>
  <c r="H34" i="31" s="1"/>
  <c r="T28" i="31"/>
  <c r="T34" i="31" s="1"/>
  <c r="AF28" i="31"/>
  <c r="AF34" i="31" s="1"/>
  <c r="K73" i="31"/>
  <c r="J4" i="31"/>
  <c r="J41" i="31" s="1"/>
  <c r="S73" i="31"/>
  <c r="AF4" i="31"/>
  <c r="AF13" i="31" s="1"/>
  <c r="D27" i="31"/>
  <c r="AC4" i="31"/>
  <c r="AC41" i="31" s="1"/>
  <c r="AD4" i="31"/>
  <c r="AD13" i="31" s="1"/>
  <c r="F29" i="31"/>
  <c r="E29" i="31"/>
  <c r="R27" i="31"/>
  <c r="Q29" i="31"/>
  <c r="E4" i="31"/>
  <c r="E22" i="31" s="1"/>
  <c r="R29" i="31"/>
  <c r="AD27" i="31"/>
  <c r="F4" i="31"/>
  <c r="F13" i="31" s="1"/>
  <c r="H4" i="31"/>
  <c r="H50" i="31" s="1"/>
  <c r="AC29" i="31"/>
  <c r="AD29" i="31"/>
  <c r="R4" i="31"/>
  <c r="R13" i="31" s="1"/>
  <c r="T4" i="31"/>
  <c r="T50" i="31" s="1"/>
  <c r="Q4" i="31"/>
  <c r="Q41" i="31" s="1"/>
  <c r="V4" i="31"/>
  <c r="V41" i="31" s="1"/>
  <c r="F27" i="31"/>
  <c r="G4" i="31"/>
  <c r="S4" i="31"/>
  <c r="AE4" i="31"/>
  <c r="E27" i="31"/>
  <c r="E33" i="31" s="1"/>
  <c r="E77" i="31" s="1"/>
  <c r="Q27" i="31"/>
  <c r="Q33" i="31" s="1"/>
  <c r="Q77" i="31" s="1"/>
  <c r="AC27" i="31"/>
  <c r="AC33" i="31" s="1"/>
  <c r="AC77" i="31" s="1"/>
  <c r="G29" i="31"/>
  <c r="S29" i="31"/>
  <c r="AE29" i="31"/>
  <c r="I4" i="31"/>
  <c r="U4" i="31"/>
  <c r="AG4" i="31"/>
  <c r="G27" i="31"/>
  <c r="G33" i="31" s="1"/>
  <c r="G77" i="31" s="1"/>
  <c r="S27" i="31"/>
  <c r="S33" i="31" s="1"/>
  <c r="S77" i="31" s="1"/>
  <c r="AE27" i="31"/>
  <c r="AE33" i="31" s="1"/>
  <c r="AE77" i="31" s="1"/>
  <c r="I29" i="31"/>
  <c r="U29" i="31"/>
  <c r="AG29" i="31"/>
  <c r="H27" i="31"/>
  <c r="H33" i="31" s="1"/>
  <c r="H77" i="31" s="1"/>
  <c r="T27" i="31"/>
  <c r="T33" i="31" s="1"/>
  <c r="T77" i="31" s="1"/>
  <c r="AF27" i="31"/>
  <c r="AF33" i="31" s="1"/>
  <c r="AF77" i="31" s="1"/>
  <c r="J29" i="31"/>
  <c r="V29" i="31"/>
  <c r="K4" i="31"/>
  <c r="W4" i="31"/>
  <c r="I27" i="31"/>
  <c r="I33" i="31" s="1"/>
  <c r="I77" i="31" s="1"/>
  <c r="U27" i="31"/>
  <c r="U33" i="31" s="1"/>
  <c r="U77" i="31" s="1"/>
  <c r="AG27" i="31"/>
  <c r="AG33" i="31" s="1"/>
  <c r="AG77" i="31" s="1"/>
  <c r="K29" i="31"/>
  <c r="W29" i="31"/>
  <c r="L4" i="31"/>
  <c r="X4" i="31"/>
  <c r="J27" i="31"/>
  <c r="J33" i="31" s="1"/>
  <c r="J77" i="31" s="1"/>
  <c r="V27" i="31"/>
  <c r="V33" i="31" s="1"/>
  <c r="V77" i="31" s="1"/>
  <c r="L29" i="31"/>
  <c r="X29" i="31"/>
  <c r="D59" i="31"/>
  <c r="M4" i="31"/>
  <c r="Y4" i="31"/>
  <c r="K27" i="31"/>
  <c r="K33" i="31" s="1"/>
  <c r="K77" i="31" s="1"/>
  <c r="W27" i="31"/>
  <c r="W33" i="31" s="1"/>
  <c r="W77" i="31" s="1"/>
  <c r="M29" i="31"/>
  <c r="Y29" i="31"/>
  <c r="N4" i="31"/>
  <c r="Z4" i="31"/>
  <c r="D22" i="31"/>
  <c r="L27" i="31"/>
  <c r="L33" i="31" s="1"/>
  <c r="L77" i="31" s="1"/>
  <c r="X27" i="31"/>
  <c r="X33" i="31" s="1"/>
  <c r="X77" i="31" s="1"/>
  <c r="N29" i="31"/>
  <c r="Z29" i="31"/>
  <c r="O4" i="31"/>
  <c r="AA4" i="31"/>
  <c r="M27" i="31"/>
  <c r="M33" i="31" s="1"/>
  <c r="M77" i="31" s="1"/>
  <c r="Y27" i="31"/>
  <c r="Y33" i="31" s="1"/>
  <c r="Y77" i="31" s="1"/>
  <c r="O29" i="31"/>
  <c r="AA29" i="31"/>
  <c r="D41" i="31"/>
  <c r="D50" i="31"/>
  <c r="P4" i="31"/>
  <c r="AB4" i="31"/>
  <c r="J44" i="10"/>
  <c r="Q42" i="10"/>
  <c r="AC25" i="10"/>
  <c r="P42" i="10"/>
  <c r="J26" i="10"/>
  <c r="U26" i="10"/>
  <c r="R42" i="10"/>
  <c r="E43" i="10"/>
  <c r="F43" i="10"/>
  <c r="R43" i="10"/>
  <c r="X42" i="10"/>
  <c r="L43" i="10"/>
  <c r="P25" i="10"/>
  <c r="Q43" i="10"/>
  <c r="AB27" i="10"/>
  <c r="X43" i="10"/>
  <c r="V26" i="10"/>
  <c r="L42" i="10"/>
  <c r="P27" i="10"/>
  <c r="N44" i="10"/>
  <c r="F27" i="10"/>
  <c r="U43" i="10"/>
  <c r="G25" i="10"/>
  <c r="H25" i="10"/>
  <c r="I25" i="10"/>
  <c r="O27" i="10"/>
  <c r="AC42" i="10"/>
  <c r="AC43" i="10"/>
  <c r="V44" i="10"/>
  <c r="P44" i="10"/>
  <c r="H27" i="10"/>
  <c r="V43" i="10"/>
  <c r="J27" i="10"/>
  <c r="AB42" i="10"/>
  <c r="AD42" i="10"/>
  <c r="AD43" i="10"/>
  <c r="R25" i="10"/>
  <c r="Z44" i="10"/>
  <c r="R27" i="10"/>
  <c r="D44" i="10"/>
  <c r="D42" i="10"/>
  <c r="C41" i="10" s="1"/>
  <c r="AB44" i="10"/>
  <c r="AD25" i="10"/>
  <c r="AD27" i="10"/>
  <c r="E42" i="10"/>
  <c r="I43" i="10"/>
  <c r="AG43" i="10"/>
  <c r="AG25" i="10"/>
  <c r="F42" i="10"/>
  <c r="J43" i="10"/>
  <c r="D48" i="10"/>
  <c r="Q25" i="10"/>
  <c r="I26" i="10"/>
  <c r="O44" i="10"/>
  <c r="AA44" i="10"/>
  <c r="K43" i="10"/>
  <c r="S25" i="10"/>
  <c r="S42" i="10"/>
  <c r="W43" i="10"/>
  <c r="H42" i="10"/>
  <c r="U25" i="10"/>
  <c r="AG26" i="10"/>
  <c r="V27" i="10"/>
  <c r="I42" i="10"/>
  <c r="U42" i="10"/>
  <c r="AG42" i="10"/>
  <c r="N43" i="10"/>
  <c r="Z43" i="10"/>
  <c r="G44" i="10"/>
  <c r="S44" i="10"/>
  <c r="AE44" i="10"/>
  <c r="Q27" i="10"/>
  <c r="T27" i="10"/>
  <c r="T42" i="10"/>
  <c r="AF42" i="10"/>
  <c r="Y43" i="10"/>
  <c r="E25" i="10"/>
  <c r="Z27" i="10"/>
  <c r="O43" i="10"/>
  <c r="AA43" i="10"/>
  <c r="H44" i="10"/>
  <c r="T44" i="10"/>
  <c r="AF44" i="10"/>
  <c r="G42" i="10"/>
  <c r="AE42" i="10"/>
  <c r="T25" i="10"/>
  <c r="M43" i="10"/>
  <c r="F25" i="10"/>
  <c r="AB25" i="10"/>
  <c r="E27" i="10"/>
  <c r="AA27" i="10"/>
  <c r="K42" i="10"/>
  <c r="W42" i="10"/>
  <c r="AC27" i="10"/>
  <c r="M42" i="10"/>
  <c r="Y42" i="10"/>
  <c r="AE25" i="10"/>
  <c r="AF25" i="10"/>
  <c r="N27" i="10"/>
  <c r="AF27" i="10"/>
  <c r="W26" i="10"/>
  <c r="M26" i="10"/>
  <c r="N26" i="10"/>
  <c r="Z26" i="10"/>
  <c r="G27" i="10"/>
  <c r="S27" i="10"/>
  <c r="AE27" i="10"/>
  <c r="O26" i="10"/>
  <c r="AA26" i="10"/>
  <c r="L26" i="10"/>
  <c r="Y26" i="10"/>
  <c r="K25" i="10"/>
  <c r="W25" i="10"/>
  <c r="L25" i="10"/>
  <c r="K26" i="10"/>
  <c r="X26" i="10"/>
  <c r="X25" i="10"/>
  <c r="M25" i="10"/>
  <c r="Y25" i="10"/>
  <c r="C14" i="2"/>
  <c r="J25" i="2"/>
  <c r="D217" i="1"/>
  <c r="E217" i="1" s="1"/>
  <c r="F217" i="1" s="1"/>
  <c r="G217" i="1" s="1"/>
  <c r="H217" i="1" s="1"/>
  <c r="I217" i="1" s="1"/>
  <c r="J217" i="1" s="1"/>
  <c r="K217" i="1" s="1"/>
  <c r="L217" i="1" s="1"/>
  <c r="M217" i="1" s="1"/>
  <c r="N217" i="1" s="1"/>
  <c r="O217" i="1" s="1"/>
  <c r="P217" i="1" s="1"/>
  <c r="Q217" i="1" s="1"/>
  <c r="R217" i="1" s="1"/>
  <c r="S217" i="1" s="1"/>
  <c r="T217" i="1" s="1"/>
  <c r="U217" i="1" s="1"/>
  <c r="V217" i="1" s="1"/>
  <c r="W217" i="1" s="1"/>
  <c r="X217" i="1" s="1"/>
  <c r="Y217" i="1" s="1"/>
  <c r="Z217" i="1" s="1"/>
  <c r="AA217" i="1" s="1"/>
  <c r="AB217" i="1" s="1"/>
  <c r="AC217" i="1" s="1"/>
  <c r="AD217" i="1" s="1"/>
  <c r="AE217" i="1" s="1"/>
  <c r="AF217" i="1" s="1"/>
  <c r="AG217" i="1" s="1"/>
  <c r="AH217" i="1" s="1"/>
  <c r="AI217" i="1" s="1"/>
  <c r="AJ217" i="1" s="1"/>
  <c r="AK217" i="1" s="1"/>
  <c r="AL217" i="1" s="1"/>
  <c r="AM217" i="1" s="1"/>
  <c r="AN217" i="1" s="1"/>
  <c r="AO217" i="1" s="1"/>
  <c r="AP217" i="1" s="1"/>
  <c r="AQ217" i="1" s="1"/>
  <c r="AR217" i="1" s="1"/>
  <c r="AS217" i="1" s="1"/>
  <c r="AT217" i="1" s="1"/>
  <c r="AU217" i="1" s="1"/>
  <c r="AV217" i="1" s="1"/>
  <c r="AW217" i="1" s="1"/>
  <c r="AX217" i="1" s="1"/>
  <c r="AY217" i="1" s="1"/>
  <c r="AZ217" i="1" s="1"/>
  <c r="BA217" i="1" s="1"/>
  <c r="BB217" i="1" s="1"/>
  <c r="D216" i="1"/>
  <c r="E216" i="1" s="1"/>
  <c r="F216" i="1" s="1"/>
  <c r="G216" i="1" s="1"/>
  <c r="H216" i="1" s="1"/>
  <c r="I216" i="1" s="1"/>
  <c r="J216" i="1" s="1"/>
  <c r="K216" i="1" s="1"/>
  <c r="L216" i="1" s="1"/>
  <c r="M216" i="1" s="1"/>
  <c r="N216" i="1" s="1"/>
  <c r="O216" i="1" s="1"/>
  <c r="P216" i="1" s="1"/>
  <c r="Q216" i="1" s="1"/>
  <c r="R216" i="1" s="1"/>
  <c r="S216" i="1" s="1"/>
  <c r="T216" i="1" s="1"/>
  <c r="U216" i="1" s="1"/>
  <c r="V216" i="1" s="1"/>
  <c r="W216" i="1" s="1"/>
  <c r="X216" i="1" s="1"/>
  <c r="Y216" i="1" s="1"/>
  <c r="Z216" i="1" s="1"/>
  <c r="AA216" i="1" s="1"/>
  <c r="AB216" i="1" s="1"/>
  <c r="AC216" i="1" s="1"/>
  <c r="AD216" i="1" s="1"/>
  <c r="AE216" i="1" s="1"/>
  <c r="AF216" i="1" s="1"/>
  <c r="AG216" i="1" s="1"/>
  <c r="AH216" i="1" s="1"/>
  <c r="AI216" i="1" s="1"/>
  <c r="AJ216" i="1" s="1"/>
  <c r="AK216" i="1" s="1"/>
  <c r="AL216" i="1" s="1"/>
  <c r="AM216" i="1" s="1"/>
  <c r="AN216" i="1" s="1"/>
  <c r="AO216" i="1" s="1"/>
  <c r="AP216" i="1" s="1"/>
  <c r="AQ216" i="1" s="1"/>
  <c r="AR216" i="1" s="1"/>
  <c r="AS216" i="1" s="1"/>
  <c r="AT216" i="1" s="1"/>
  <c r="AU216" i="1" s="1"/>
  <c r="AV216" i="1" s="1"/>
  <c r="AW216" i="1" s="1"/>
  <c r="AX216" i="1" s="1"/>
  <c r="AY216" i="1" s="1"/>
  <c r="AZ216" i="1" s="1"/>
  <c r="BA216" i="1" s="1"/>
  <c r="BB216" i="1" s="1"/>
  <c r="D215" i="1"/>
  <c r="E215" i="1" s="1"/>
  <c r="F215" i="1" s="1"/>
  <c r="G215" i="1" s="1"/>
  <c r="H215" i="1" s="1"/>
  <c r="I215" i="1" s="1"/>
  <c r="J215" i="1" s="1"/>
  <c r="K215" i="1" s="1"/>
  <c r="L215" i="1" s="1"/>
  <c r="M215" i="1" s="1"/>
  <c r="N215" i="1" s="1"/>
  <c r="O215" i="1" s="1"/>
  <c r="P215" i="1" s="1"/>
  <c r="Q215" i="1" s="1"/>
  <c r="R215" i="1" s="1"/>
  <c r="S215" i="1" s="1"/>
  <c r="T215" i="1" s="1"/>
  <c r="U215" i="1" s="1"/>
  <c r="V215" i="1" s="1"/>
  <c r="W215" i="1" s="1"/>
  <c r="X215" i="1" s="1"/>
  <c r="Y215" i="1" s="1"/>
  <c r="Z215" i="1" s="1"/>
  <c r="AA215" i="1" s="1"/>
  <c r="AB215" i="1" s="1"/>
  <c r="AC215" i="1" s="1"/>
  <c r="AD215" i="1" s="1"/>
  <c r="AE215" i="1" s="1"/>
  <c r="AF215" i="1" s="1"/>
  <c r="AG215" i="1" s="1"/>
  <c r="AH215" i="1" s="1"/>
  <c r="AI215" i="1" s="1"/>
  <c r="AJ215" i="1" s="1"/>
  <c r="AK215" i="1" s="1"/>
  <c r="AL215" i="1" s="1"/>
  <c r="AM215" i="1" s="1"/>
  <c r="AN215" i="1" s="1"/>
  <c r="AO215" i="1" s="1"/>
  <c r="AP215" i="1" s="1"/>
  <c r="AQ215" i="1" s="1"/>
  <c r="AR215" i="1" s="1"/>
  <c r="AS215" i="1" s="1"/>
  <c r="AT215" i="1" s="1"/>
  <c r="AU215" i="1" s="1"/>
  <c r="AV215" i="1" s="1"/>
  <c r="AW215" i="1" s="1"/>
  <c r="AX215" i="1" s="1"/>
  <c r="AY215" i="1" s="1"/>
  <c r="AZ215" i="1" s="1"/>
  <c r="BA215" i="1" s="1"/>
  <c r="BB215" i="1" s="1"/>
  <c r="Y28" i="35" l="1"/>
  <c r="Y23" i="34"/>
  <c r="Y36" i="34" s="1"/>
  <c r="L24" i="34"/>
  <c r="AE28" i="35"/>
  <c r="L37" i="34"/>
  <c r="Y17" i="35"/>
  <c r="Y27" i="35" s="1"/>
  <c r="H28" i="35"/>
  <c r="Q28" i="35"/>
  <c r="AF28" i="35"/>
  <c r="V28" i="35"/>
  <c r="R22" i="34"/>
  <c r="R35" i="34" s="1"/>
  <c r="R24" i="34"/>
  <c r="R37" i="34" s="1"/>
  <c r="R18" i="35"/>
  <c r="R28" i="35" s="1"/>
  <c r="O24" i="34"/>
  <c r="O37" i="34" s="1"/>
  <c r="O18" i="35"/>
  <c r="O28" i="35" s="1"/>
  <c r="S21" i="34"/>
  <c r="S34" i="34" s="1"/>
  <c r="S24" i="34"/>
  <c r="S37" i="34" s="1"/>
  <c r="S18" i="35"/>
  <c r="S28" i="35" s="1"/>
  <c r="AB18" i="35"/>
  <c r="AB28" i="35" s="1"/>
  <c r="AB24" i="34"/>
  <c r="AB37" i="34" s="1"/>
  <c r="P24" i="34"/>
  <c r="P18" i="35"/>
  <c r="P28" i="35" s="1"/>
  <c r="T28" i="35"/>
  <c r="Z24" i="34"/>
  <c r="Z37" i="34" s="1"/>
  <c r="Z18" i="35"/>
  <c r="Z28" i="35" s="1"/>
  <c r="AD28" i="35"/>
  <c r="X28" i="35"/>
  <c r="I28" i="35"/>
  <c r="AA24" i="34"/>
  <c r="AA37" i="34" s="1"/>
  <c r="AA18" i="35"/>
  <c r="AA28" i="35" s="1"/>
  <c r="N24" i="34"/>
  <c r="N37" i="34" s="1"/>
  <c r="N18" i="35"/>
  <c r="N28" i="35" s="1"/>
  <c r="J28" i="35"/>
  <c r="AC24" i="34"/>
  <c r="AC37" i="34" s="1"/>
  <c r="U28" i="35"/>
  <c r="Y24" i="34"/>
  <c r="Y37" i="34" s="1"/>
  <c r="D24" i="34"/>
  <c r="D37" i="34" s="1"/>
  <c r="D50" i="34" s="1"/>
  <c r="D18" i="35"/>
  <c r="D28" i="35" s="1"/>
  <c r="AC17" i="35"/>
  <c r="AC27" i="35" s="1"/>
  <c r="R19" i="34"/>
  <c r="R32" i="34" s="1"/>
  <c r="R16" i="35"/>
  <c r="R26" i="35" s="1"/>
  <c r="R23" i="34"/>
  <c r="R36" i="34" s="1"/>
  <c r="R15" i="35"/>
  <c r="R25" i="35" s="1"/>
  <c r="R17" i="35"/>
  <c r="R27" i="35" s="1"/>
  <c r="R21" i="34"/>
  <c r="R34" i="34" s="1"/>
  <c r="V37" i="34"/>
  <c r="AC16" i="35"/>
  <c r="AC26" i="35" s="1"/>
  <c r="Y16" i="35"/>
  <c r="Y26" i="35" s="1"/>
  <c r="Y22" i="34"/>
  <c r="Y35" i="34" s="1"/>
  <c r="AC15" i="35"/>
  <c r="AC25" i="35" s="1"/>
  <c r="Y15" i="35"/>
  <c r="Y25" i="35" s="1"/>
  <c r="Y21" i="34"/>
  <c r="Y34" i="34" s="1"/>
  <c r="AC21" i="34"/>
  <c r="AC34" i="34" s="1"/>
  <c r="W78" i="31"/>
  <c r="AC19" i="34"/>
  <c r="AC32" i="34" s="1"/>
  <c r="AC23" i="34"/>
  <c r="AC36" i="34" s="1"/>
  <c r="L17" i="35"/>
  <c r="L27" i="35" s="1"/>
  <c r="I37" i="34"/>
  <c r="L23" i="34"/>
  <c r="L36" i="34" s="1"/>
  <c r="L22" i="34"/>
  <c r="L35" i="34" s="1"/>
  <c r="L21" i="34"/>
  <c r="L34" i="34" s="1"/>
  <c r="L15" i="35"/>
  <c r="L25" i="35" s="1"/>
  <c r="L16" i="35"/>
  <c r="L26" i="35" s="1"/>
  <c r="S19" i="34"/>
  <c r="S32" i="34" s="1"/>
  <c r="S17" i="35"/>
  <c r="S27" i="35" s="1"/>
  <c r="S15" i="35"/>
  <c r="S25" i="35" s="1"/>
  <c r="S23" i="34"/>
  <c r="S36" i="34" s="1"/>
  <c r="S16" i="35"/>
  <c r="S26" i="35" s="1"/>
  <c r="S22" i="34"/>
  <c r="S35" i="34" s="1"/>
  <c r="X78" i="31"/>
  <c r="O78" i="31"/>
  <c r="C86" i="31"/>
  <c r="I78" i="31"/>
  <c r="F38" i="34"/>
  <c r="F25" i="34"/>
  <c r="D21" i="34"/>
  <c r="D34" i="34" s="1"/>
  <c r="D47" i="34" s="1"/>
  <c r="D19" i="34"/>
  <c r="D22" i="34"/>
  <c r="D35" i="34" s="1"/>
  <c r="D48" i="34" s="1"/>
  <c r="D23" i="34"/>
  <c r="D36" i="34" s="1"/>
  <c r="D49" i="34" s="1"/>
  <c r="E38" i="34"/>
  <c r="E25" i="34"/>
  <c r="AD78" i="31"/>
  <c r="G78" i="31"/>
  <c r="N78" i="31"/>
  <c r="AC78" i="31"/>
  <c r="G36" i="34"/>
  <c r="V32" i="34"/>
  <c r="AA22" i="34"/>
  <c r="AA35" i="34" s="1"/>
  <c r="AA23" i="34"/>
  <c r="AA36" i="34" s="1"/>
  <c r="AA19" i="34"/>
  <c r="AA21" i="34"/>
  <c r="AA34" i="34" s="1"/>
  <c r="N21" i="34"/>
  <c r="N34" i="34" s="1"/>
  <c r="N22" i="34"/>
  <c r="N35" i="34" s="1"/>
  <c r="N23" i="34"/>
  <c r="N36" i="34" s="1"/>
  <c r="N19" i="34"/>
  <c r="G34" i="34"/>
  <c r="T32" i="34"/>
  <c r="T38" i="34" s="1"/>
  <c r="T25" i="34"/>
  <c r="AB78" i="31"/>
  <c r="AB80" i="31" s="1"/>
  <c r="AB12" i="19" s="1"/>
  <c r="AB11" i="19" s="1"/>
  <c r="K32" i="34"/>
  <c r="K38" i="34" s="1"/>
  <c r="K25" i="34"/>
  <c r="AD32" i="34"/>
  <c r="AD38" i="34" s="1"/>
  <c r="AD25" i="34"/>
  <c r="Z22" i="34"/>
  <c r="Z35" i="34" s="1"/>
  <c r="Z23" i="34"/>
  <c r="Z36" i="34" s="1"/>
  <c r="Z19" i="34"/>
  <c r="Z21" i="34"/>
  <c r="Z34" i="34" s="1"/>
  <c r="O23" i="34"/>
  <c r="O36" i="34" s="1"/>
  <c r="O21" i="34"/>
  <c r="O34" i="34" s="1"/>
  <c r="O22" i="34"/>
  <c r="O35" i="34" s="1"/>
  <c r="O19" i="34"/>
  <c r="AB21" i="34"/>
  <c r="AB34" i="34" s="1"/>
  <c r="AB22" i="34"/>
  <c r="AB35" i="34" s="1"/>
  <c r="AB23" i="34"/>
  <c r="AB36" i="34" s="1"/>
  <c r="AB19" i="34"/>
  <c r="X25" i="34"/>
  <c r="X32" i="34"/>
  <c r="X38" i="34" s="1"/>
  <c r="W25" i="34"/>
  <c r="W32" i="34"/>
  <c r="W38" i="34" s="1"/>
  <c r="J25" i="34"/>
  <c r="J32" i="34"/>
  <c r="J38" i="34" s="1"/>
  <c r="Y32" i="34"/>
  <c r="H25" i="34"/>
  <c r="H32" i="34"/>
  <c r="H38" i="34" s="1"/>
  <c r="Z78" i="31"/>
  <c r="AE25" i="34"/>
  <c r="AE32" i="34"/>
  <c r="AE38" i="34" s="1"/>
  <c r="L32" i="34"/>
  <c r="M32" i="34"/>
  <c r="M38" i="34" s="1"/>
  <c r="M25" i="34"/>
  <c r="I32" i="34"/>
  <c r="P23" i="34"/>
  <c r="P36" i="34" s="1"/>
  <c r="P19" i="34"/>
  <c r="P37" i="34"/>
  <c r="P21" i="34"/>
  <c r="P34" i="34" s="1"/>
  <c r="P22" i="34"/>
  <c r="P35" i="34" s="1"/>
  <c r="AL35" i="36"/>
  <c r="C35" i="36" s="1"/>
  <c r="C30" i="36"/>
  <c r="U32" i="34"/>
  <c r="U38" i="34" s="1"/>
  <c r="U25" i="34"/>
  <c r="G35" i="34"/>
  <c r="Q32" i="34"/>
  <c r="Q38" i="34" s="1"/>
  <c r="Q25" i="34"/>
  <c r="L78" i="31"/>
  <c r="Y78" i="31"/>
  <c r="AF25" i="34"/>
  <c r="AF32" i="34"/>
  <c r="AF38" i="34" s="1"/>
  <c r="G25" i="34"/>
  <c r="G32" i="34"/>
  <c r="AL25" i="34"/>
  <c r="AL32" i="34"/>
  <c r="AL38" i="34" s="1"/>
  <c r="AG25" i="34"/>
  <c r="AG32" i="34"/>
  <c r="AG38" i="34" s="1"/>
  <c r="AA16" i="35"/>
  <c r="AA26" i="35" s="1"/>
  <c r="AA17" i="35"/>
  <c r="AA27" i="35" s="1"/>
  <c r="AA15" i="35"/>
  <c r="C15" i="33"/>
  <c r="AL24" i="33"/>
  <c r="C24" i="33" s="1"/>
  <c r="AL19" i="35"/>
  <c r="AL25" i="35"/>
  <c r="H19" i="35"/>
  <c r="H25" i="35"/>
  <c r="E19" i="35"/>
  <c r="E25" i="35"/>
  <c r="E29" i="35" s="1"/>
  <c r="Q19" i="35"/>
  <c r="Q25" i="35"/>
  <c r="AF19" i="35"/>
  <c r="AF25" i="35"/>
  <c r="U19" i="35"/>
  <c r="U25" i="35"/>
  <c r="AL72" i="40"/>
  <c r="C72" i="40" s="1"/>
  <c r="C69" i="40"/>
  <c r="X19" i="35"/>
  <c r="X25" i="35"/>
  <c r="AE19" i="35"/>
  <c r="AE25" i="35"/>
  <c r="G19" i="35"/>
  <c r="G25" i="35"/>
  <c r="Z17" i="35"/>
  <c r="Z27" i="35" s="1"/>
  <c r="Z16" i="35"/>
  <c r="Z26" i="35" s="1"/>
  <c r="Z15" i="35"/>
  <c r="F78" i="31"/>
  <c r="Q78" i="31"/>
  <c r="N16" i="35"/>
  <c r="N26" i="35" s="1"/>
  <c r="N15" i="35"/>
  <c r="N17" i="35"/>
  <c r="N27" i="35" s="1"/>
  <c r="J19" i="35"/>
  <c r="J25" i="35"/>
  <c r="V19" i="35"/>
  <c r="V25" i="35"/>
  <c r="AA78" i="31"/>
  <c r="T19" i="35"/>
  <c r="T25" i="35"/>
  <c r="AG19" i="35"/>
  <c r="AG25" i="35"/>
  <c r="I19" i="35"/>
  <c r="I25" i="35"/>
  <c r="AL73" i="32"/>
  <c r="C69" i="32"/>
  <c r="F19" i="35"/>
  <c r="F25" i="35"/>
  <c r="AG78" i="31"/>
  <c r="D17" i="35"/>
  <c r="D16" i="35"/>
  <c r="D15" i="35"/>
  <c r="P15" i="35"/>
  <c r="P16" i="35"/>
  <c r="P26" i="35" s="1"/>
  <c r="P17" i="35"/>
  <c r="P27" i="35" s="1"/>
  <c r="AB15" i="35"/>
  <c r="AB17" i="35"/>
  <c r="AB27" i="35" s="1"/>
  <c r="AB16" i="35"/>
  <c r="AB26" i="35" s="1"/>
  <c r="AL17" i="33"/>
  <c r="C17" i="33" s="1"/>
  <c r="C14" i="33"/>
  <c r="AL23" i="33"/>
  <c r="M19" i="35"/>
  <c r="M25" i="35"/>
  <c r="K19" i="35"/>
  <c r="K25" i="35"/>
  <c r="O16" i="35"/>
  <c r="O26" i="35" s="1"/>
  <c r="O15" i="35"/>
  <c r="O17" i="35"/>
  <c r="O27" i="35" s="1"/>
  <c r="U78" i="31"/>
  <c r="C16" i="33"/>
  <c r="AL25" i="33"/>
  <c r="C25" i="33" s="1"/>
  <c r="W19" i="35"/>
  <c r="W25" i="35"/>
  <c r="AD19" i="35"/>
  <c r="AD25" i="35"/>
  <c r="M78" i="31"/>
  <c r="R78" i="31"/>
  <c r="E78" i="31"/>
  <c r="C87" i="31"/>
  <c r="C85" i="31"/>
  <c r="C84" i="31"/>
  <c r="AK36" i="6"/>
  <c r="AK38" i="6" s="1"/>
  <c r="AK39" i="6" s="1"/>
  <c r="AK9" i="6"/>
  <c r="AL19" i="6"/>
  <c r="AL6" i="6"/>
  <c r="D70" i="31"/>
  <c r="C70" i="31" s="1"/>
  <c r="C64" i="31"/>
  <c r="D47" i="10"/>
  <c r="C42" i="10"/>
  <c r="D71" i="31"/>
  <c r="C65" i="31"/>
  <c r="D72" i="31"/>
  <c r="C72" i="31" s="1"/>
  <c r="C66" i="31"/>
  <c r="D49" i="10"/>
  <c r="C44" i="10"/>
  <c r="D34" i="31"/>
  <c r="C28" i="31"/>
  <c r="D33" i="31"/>
  <c r="C27" i="31"/>
  <c r="D35" i="31"/>
  <c r="C29" i="31"/>
  <c r="C43" i="10"/>
  <c r="AC59" i="31"/>
  <c r="H71" i="31"/>
  <c r="H73" i="31" s="1"/>
  <c r="P71" i="31"/>
  <c r="P73" i="31" s="1"/>
  <c r="T71" i="31"/>
  <c r="T73" i="31" s="1"/>
  <c r="AF71" i="31"/>
  <c r="AF78" i="31" s="1"/>
  <c r="AF80" i="31" s="1"/>
  <c r="AC22" i="31"/>
  <c r="AC50" i="31"/>
  <c r="R22" i="31"/>
  <c r="AC13" i="31"/>
  <c r="AF50" i="31"/>
  <c r="H59" i="31"/>
  <c r="AF41" i="31"/>
  <c r="Z35" i="31"/>
  <c r="Z79" i="31" s="1"/>
  <c r="AE35" i="31"/>
  <c r="AE79" i="31" s="1"/>
  <c r="V34" i="31"/>
  <c r="V78" i="31" s="1"/>
  <c r="N35" i="31"/>
  <c r="S35" i="31"/>
  <c r="S79" i="31" s="1"/>
  <c r="E35" i="31"/>
  <c r="E79" i="31" s="1"/>
  <c r="AA35" i="31"/>
  <c r="AA79" i="31" s="1"/>
  <c r="AE34" i="31"/>
  <c r="AE78" i="31" s="1"/>
  <c r="G35" i="31"/>
  <c r="G79" i="31" s="1"/>
  <c r="F33" i="31"/>
  <c r="F77" i="31" s="1"/>
  <c r="O35" i="31"/>
  <c r="S34" i="31"/>
  <c r="S78" i="31" s="1"/>
  <c r="F35" i="31"/>
  <c r="F79" i="31" s="1"/>
  <c r="R35" i="31"/>
  <c r="R79" i="31" s="1"/>
  <c r="W35" i="31"/>
  <c r="W79" i="31" s="1"/>
  <c r="V35" i="31"/>
  <c r="V79" i="31" s="1"/>
  <c r="AG35" i="31"/>
  <c r="Y35" i="31"/>
  <c r="X35" i="31"/>
  <c r="X79" i="31" s="1"/>
  <c r="K35" i="31"/>
  <c r="K79" i="31" s="1"/>
  <c r="K80" i="31" s="1"/>
  <c r="J35" i="31"/>
  <c r="J79" i="31" s="1"/>
  <c r="U35" i="31"/>
  <c r="U79" i="31" s="1"/>
  <c r="J34" i="31"/>
  <c r="J78" i="31" s="1"/>
  <c r="M35" i="31"/>
  <c r="L35" i="31"/>
  <c r="L79" i="31" s="1"/>
  <c r="I35" i="31"/>
  <c r="I79" i="31" s="1"/>
  <c r="Q35" i="31"/>
  <c r="Q79" i="31" s="1"/>
  <c r="AD35" i="31"/>
  <c r="AD79" i="31" s="1"/>
  <c r="AD33" i="31"/>
  <c r="AD77" i="31" s="1"/>
  <c r="R33" i="31"/>
  <c r="R77" i="31" s="1"/>
  <c r="AC35" i="31"/>
  <c r="AC79" i="31" s="1"/>
  <c r="J59" i="31"/>
  <c r="J50" i="31"/>
  <c r="R50" i="31"/>
  <c r="T41" i="31"/>
  <c r="AD41" i="31"/>
  <c r="H41" i="31"/>
  <c r="AF59" i="31"/>
  <c r="R59" i="31"/>
  <c r="I73" i="31"/>
  <c r="AD22" i="31"/>
  <c r="T59" i="31"/>
  <c r="AD59" i="31"/>
  <c r="AD50" i="31"/>
  <c r="F41" i="31"/>
  <c r="F59" i="31"/>
  <c r="F22" i="31"/>
  <c r="AF22" i="31"/>
  <c r="J13" i="31"/>
  <c r="J22" i="31"/>
  <c r="E50" i="31"/>
  <c r="E41" i="31"/>
  <c r="E13" i="31"/>
  <c r="E59" i="31"/>
  <c r="F50" i="31"/>
  <c r="R41" i="31"/>
  <c r="V59" i="31"/>
  <c r="V50" i="31"/>
  <c r="AB36" i="31"/>
  <c r="Q22" i="31"/>
  <c r="T13" i="31"/>
  <c r="T22" i="31"/>
  <c r="Q13" i="31"/>
  <c r="H13" i="31"/>
  <c r="H22" i="31"/>
  <c r="Q59" i="31"/>
  <c r="V13" i="31"/>
  <c r="V22" i="31"/>
  <c r="Q50" i="31"/>
  <c r="N50" i="31"/>
  <c r="N41" i="31"/>
  <c r="N59" i="31"/>
  <c r="N13" i="31"/>
  <c r="N22" i="31"/>
  <c r="AA59" i="31"/>
  <c r="AA13" i="31"/>
  <c r="AA50" i="31"/>
  <c r="AA22" i="31"/>
  <c r="AA41" i="31"/>
  <c r="K50" i="31"/>
  <c r="K59" i="31"/>
  <c r="K41" i="31"/>
  <c r="K13" i="31"/>
  <c r="K22" i="31"/>
  <c r="U41" i="31"/>
  <c r="U50" i="31"/>
  <c r="U59" i="31"/>
  <c r="U13" i="31"/>
  <c r="U22" i="31"/>
  <c r="W50" i="31"/>
  <c r="W59" i="31"/>
  <c r="W13" i="31"/>
  <c r="W22" i="31"/>
  <c r="W41" i="31"/>
  <c r="I41" i="31"/>
  <c r="I50" i="31"/>
  <c r="I59" i="31"/>
  <c r="I13" i="31"/>
  <c r="I22" i="31"/>
  <c r="T36" i="31"/>
  <c r="AF36" i="31"/>
  <c r="AB41" i="31"/>
  <c r="AB50" i="31"/>
  <c r="AB13" i="31"/>
  <c r="AB22" i="31"/>
  <c r="AB59" i="31"/>
  <c r="H36" i="31"/>
  <c r="P41" i="31"/>
  <c r="P50" i="31"/>
  <c r="P59" i="31"/>
  <c r="P13" i="31"/>
  <c r="P22" i="31"/>
  <c r="Y41" i="31"/>
  <c r="Y59" i="31"/>
  <c r="Y50" i="31"/>
  <c r="Y13" i="31"/>
  <c r="Y22" i="31"/>
  <c r="P36" i="31"/>
  <c r="M41" i="31"/>
  <c r="M59" i="31"/>
  <c r="M13" i="31"/>
  <c r="M22" i="31"/>
  <c r="M50" i="31"/>
  <c r="X59" i="31"/>
  <c r="X50" i="31"/>
  <c r="X13" i="31"/>
  <c r="X22" i="31"/>
  <c r="X41" i="31"/>
  <c r="AE41" i="31"/>
  <c r="AE50" i="31"/>
  <c r="AE59" i="31"/>
  <c r="AE22" i="31"/>
  <c r="AE13" i="31"/>
  <c r="AG41" i="31"/>
  <c r="AG50" i="31"/>
  <c r="AG59" i="31"/>
  <c r="AG13" i="31"/>
  <c r="AG22" i="31"/>
  <c r="O59" i="31"/>
  <c r="O13" i="31"/>
  <c r="O22" i="31"/>
  <c r="O41" i="31"/>
  <c r="O50" i="31"/>
  <c r="L59" i="31"/>
  <c r="L41" i="31"/>
  <c r="L50" i="31"/>
  <c r="L13" i="31"/>
  <c r="L22" i="31"/>
  <c r="S41" i="31"/>
  <c r="S50" i="31"/>
  <c r="S59" i="31"/>
  <c r="S13" i="31"/>
  <c r="S22" i="31"/>
  <c r="G41" i="31"/>
  <c r="G50" i="31"/>
  <c r="G59" i="31"/>
  <c r="G13" i="31"/>
  <c r="G22" i="31"/>
  <c r="Z50" i="31"/>
  <c r="Z13" i="31"/>
  <c r="Z41" i="31"/>
  <c r="Z22" i="31"/>
  <c r="Z59" i="31"/>
  <c r="C240" i="1"/>
  <c r="D46" i="36" s="1"/>
  <c r="C239" i="1"/>
  <c r="D45" i="36" s="1"/>
  <c r="C238" i="1"/>
  <c r="D44" i="36" s="1"/>
  <c r="C237" i="1"/>
  <c r="D43" i="36" s="1"/>
  <c r="C236" i="1"/>
  <c r="D42" i="36" s="1"/>
  <c r="C235" i="1"/>
  <c r="C127" i="1"/>
  <c r="D127" i="1" s="1"/>
  <c r="E127" i="1" s="1"/>
  <c r="F127" i="1" s="1"/>
  <c r="G127" i="1" s="1"/>
  <c r="H127" i="1" s="1"/>
  <c r="I127" i="1" s="1"/>
  <c r="J127" i="1" s="1"/>
  <c r="K127" i="1" s="1"/>
  <c r="L127" i="1" s="1"/>
  <c r="M127" i="1" s="1"/>
  <c r="N127" i="1" s="1"/>
  <c r="O127" i="1" s="1"/>
  <c r="P127" i="1" s="1"/>
  <c r="Q127" i="1" s="1"/>
  <c r="R127" i="1" s="1"/>
  <c r="S127" i="1" s="1"/>
  <c r="T127" i="1" s="1"/>
  <c r="U127" i="1" s="1"/>
  <c r="V127" i="1" s="1"/>
  <c r="W127" i="1" s="1"/>
  <c r="X127" i="1" s="1"/>
  <c r="Y127" i="1" s="1"/>
  <c r="Z127" i="1" s="1"/>
  <c r="AA127" i="1" s="1"/>
  <c r="AB127" i="1" s="1"/>
  <c r="AC127" i="1" s="1"/>
  <c r="AD127" i="1" s="1"/>
  <c r="AE127" i="1" s="1"/>
  <c r="AF127" i="1" s="1"/>
  <c r="AG127" i="1" s="1"/>
  <c r="C126" i="1"/>
  <c r="D126" i="1" s="1"/>
  <c r="E126" i="1" s="1"/>
  <c r="F126" i="1" s="1"/>
  <c r="G126" i="1" s="1"/>
  <c r="H126" i="1" s="1"/>
  <c r="I126" i="1" s="1"/>
  <c r="J126" i="1" s="1"/>
  <c r="K126" i="1" s="1"/>
  <c r="L126" i="1" s="1"/>
  <c r="M126" i="1" s="1"/>
  <c r="N126" i="1" s="1"/>
  <c r="O126" i="1" s="1"/>
  <c r="P126" i="1" s="1"/>
  <c r="Q126" i="1" s="1"/>
  <c r="R126" i="1" s="1"/>
  <c r="S126" i="1" s="1"/>
  <c r="T126" i="1" s="1"/>
  <c r="U126" i="1" s="1"/>
  <c r="V126" i="1" s="1"/>
  <c r="W126" i="1" s="1"/>
  <c r="X126" i="1" s="1"/>
  <c r="Y126" i="1" s="1"/>
  <c r="Z126" i="1" s="1"/>
  <c r="AA126" i="1" s="1"/>
  <c r="AB126" i="1" s="1"/>
  <c r="AC126" i="1" s="1"/>
  <c r="AD126" i="1" s="1"/>
  <c r="AE126" i="1" s="1"/>
  <c r="AF126" i="1" s="1"/>
  <c r="AG126" i="1" s="1"/>
  <c r="C125" i="1"/>
  <c r="D125" i="1" s="1"/>
  <c r="E125" i="1" s="1"/>
  <c r="F125" i="1" s="1"/>
  <c r="G125" i="1" s="1"/>
  <c r="H125" i="1" s="1"/>
  <c r="I125" i="1" s="1"/>
  <c r="J125" i="1" s="1"/>
  <c r="K125" i="1" s="1"/>
  <c r="L125" i="1" s="1"/>
  <c r="M125" i="1" s="1"/>
  <c r="N125" i="1" s="1"/>
  <c r="O125" i="1" s="1"/>
  <c r="P125" i="1" s="1"/>
  <c r="Q125" i="1" s="1"/>
  <c r="R125" i="1" s="1"/>
  <c r="S125" i="1" s="1"/>
  <c r="T125" i="1" s="1"/>
  <c r="U125" i="1" s="1"/>
  <c r="V125" i="1" s="1"/>
  <c r="W125" i="1" s="1"/>
  <c r="X125" i="1" s="1"/>
  <c r="Y125" i="1" s="1"/>
  <c r="Z125" i="1" s="1"/>
  <c r="AA125" i="1" s="1"/>
  <c r="AB125" i="1" s="1"/>
  <c r="AC125" i="1" s="1"/>
  <c r="AD125" i="1" s="1"/>
  <c r="AE125" i="1" s="1"/>
  <c r="AF125" i="1" s="1"/>
  <c r="AG125" i="1" s="1"/>
  <c r="AD121" i="1"/>
  <c r="Y121" i="1"/>
  <c r="T121" i="1"/>
  <c r="O121" i="1"/>
  <c r="J121" i="1"/>
  <c r="E121" i="1"/>
  <c r="R19" i="35" l="1"/>
  <c r="C18" i="35"/>
  <c r="C28" i="35"/>
  <c r="V25" i="34"/>
  <c r="V38" i="34"/>
  <c r="R38" i="34"/>
  <c r="W80" i="31"/>
  <c r="R25" i="34"/>
  <c r="AC19" i="35"/>
  <c r="I38" i="34"/>
  <c r="AC38" i="34"/>
  <c r="I25" i="34"/>
  <c r="Y19" i="35"/>
  <c r="Y38" i="34"/>
  <c r="AC25" i="34"/>
  <c r="Y25" i="34"/>
  <c r="L19" i="35"/>
  <c r="L25" i="34"/>
  <c r="L38" i="34"/>
  <c r="S19" i="35"/>
  <c r="AC80" i="31"/>
  <c r="X80" i="31"/>
  <c r="X12" i="19" s="1"/>
  <c r="X11" i="19" s="1"/>
  <c r="S25" i="34"/>
  <c r="S38" i="34"/>
  <c r="I80" i="31"/>
  <c r="I12" i="19" s="1"/>
  <c r="I11" i="19" s="1"/>
  <c r="G80" i="31"/>
  <c r="G12" i="19" s="1"/>
  <c r="G11" i="19" s="1"/>
  <c r="E30" i="35"/>
  <c r="E35" i="35" s="1"/>
  <c r="E20" i="19" s="1"/>
  <c r="L80" i="31"/>
  <c r="L12" i="19" s="1"/>
  <c r="L11" i="19" s="1"/>
  <c r="V80" i="31"/>
  <c r="D32" i="34"/>
  <c r="D25" i="34"/>
  <c r="C37" i="34"/>
  <c r="Q80" i="31"/>
  <c r="Q12" i="19" s="1"/>
  <c r="Q11" i="19" s="1"/>
  <c r="AA80" i="31"/>
  <c r="AA12" i="19" s="1"/>
  <c r="AA11" i="19" s="1"/>
  <c r="U80" i="31"/>
  <c r="U12" i="19" s="1"/>
  <c r="U11" i="19" s="1"/>
  <c r="O25" i="34"/>
  <c r="O32" i="34"/>
  <c r="O38" i="34" s="1"/>
  <c r="G38" i="34"/>
  <c r="C24" i="34"/>
  <c r="AB32" i="34"/>
  <c r="AB38" i="34" s="1"/>
  <c r="AB25" i="34"/>
  <c r="Z80" i="31"/>
  <c r="Z12" i="19" s="1"/>
  <c r="Z11" i="19" s="1"/>
  <c r="C19" i="34"/>
  <c r="C35" i="34"/>
  <c r="C34" i="34"/>
  <c r="C22" i="34"/>
  <c r="P25" i="34"/>
  <c r="P32" i="34"/>
  <c r="P38" i="34" s="1"/>
  <c r="C21" i="34"/>
  <c r="AA32" i="34"/>
  <c r="AA38" i="34" s="1"/>
  <c r="AA25" i="34"/>
  <c r="C36" i="34"/>
  <c r="J80" i="31"/>
  <c r="J12" i="19" s="1"/>
  <c r="J11" i="19" s="1"/>
  <c r="Z25" i="34"/>
  <c r="Z32" i="34"/>
  <c r="Z38" i="34" s="1"/>
  <c r="N32" i="34"/>
  <c r="N38" i="34" s="1"/>
  <c r="N25" i="34"/>
  <c r="C23" i="34"/>
  <c r="AD30" i="35"/>
  <c r="AD35" i="35" s="1"/>
  <c r="AD20" i="19" s="1"/>
  <c r="AD29" i="35"/>
  <c r="C15" i="35"/>
  <c r="D19" i="35"/>
  <c r="D25" i="35"/>
  <c r="AL13" i="19"/>
  <c r="C73" i="32"/>
  <c r="V29" i="35"/>
  <c r="V30" i="35"/>
  <c r="AE29" i="35"/>
  <c r="AE30" i="35"/>
  <c r="AE35" i="35" s="1"/>
  <c r="AE20" i="19" s="1"/>
  <c r="R29" i="35"/>
  <c r="R30" i="35"/>
  <c r="AC30" i="35"/>
  <c r="AC29" i="35"/>
  <c r="L29" i="35"/>
  <c r="L30" i="35"/>
  <c r="E80" i="31"/>
  <c r="E12" i="19" s="1"/>
  <c r="E11" i="19" s="1"/>
  <c r="O19" i="35"/>
  <c r="O25" i="35"/>
  <c r="C16" i="35"/>
  <c r="D26" i="35"/>
  <c r="C26" i="35" s="1"/>
  <c r="I30" i="35"/>
  <c r="I29" i="35"/>
  <c r="AD80" i="31"/>
  <c r="AD12" i="19" s="1"/>
  <c r="AD11" i="19" s="1"/>
  <c r="W29" i="35"/>
  <c r="W30" i="35"/>
  <c r="C17" i="35"/>
  <c r="D27" i="35"/>
  <c r="C27" i="35" s="1"/>
  <c r="J30" i="35"/>
  <c r="J35" i="35" s="1"/>
  <c r="J20" i="19" s="1"/>
  <c r="J29" i="35"/>
  <c r="X30" i="35"/>
  <c r="X29" i="35"/>
  <c r="AF30" i="35"/>
  <c r="AF29" i="35"/>
  <c r="Y30" i="35"/>
  <c r="Y35" i="35" s="1"/>
  <c r="Y20" i="19" s="1"/>
  <c r="Y29" i="35"/>
  <c r="AG30" i="35"/>
  <c r="AG29" i="35"/>
  <c r="P78" i="31"/>
  <c r="P80" i="31" s="1"/>
  <c r="P12" i="19" s="1"/>
  <c r="P11" i="19" s="1"/>
  <c r="AB19" i="35"/>
  <c r="AB25" i="35"/>
  <c r="S29" i="35"/>
  <c r="S30" i="35"/>
  <c r="Q30" i="35"/>
  <c r="Q29" i="35"/>
  <c r="H29" i="35"/>
  <c r="H30" i="35"/>
  <c r="AA19" i="35"/>
  <c r="AA25" i="35"/>
  <c r="Z19" i="35"/>
  <c r="Z25" i="35"/>
  <c r="M29" i="35"/>
  <c r="M30" i="35"/>
  <c r="F30" i="35"/>
  <c r="F35" i="35" s="1"/>
  <c r="F29" i="35"/>
  <c r="T30" i="35"/>
  <c r="T35" i="35" s="1"/>
  <c r="T20" i="19" s="1"/>
  <c r="T29" i="35"/>
  <c r="H78" i="31"/>
  <c r="H80" i="31" s="1"/>
  <c r="H12" i="19" s="1"/>
  <c r="H11" i="19" s="1"/>
  <c r="G29" i="35"/>
  <c r="G30" i="35"/>
  <c r="U29" i="35"/>
  <c r="U30" i="35"/>
  <c r="U35" i="35" s="1"/>
  <c r="U20" i="19" s="1"/>
  <c r="AL29" i="35"/>
  <c r="AL30" i="35"/>
  <c r="K30" i="35"/>
  <c r="K35" i="35" s="1"/>
  <c r="K20" i="19" s="1"/>
  <c r="K29" i="35"/>
  <c r="AE80" i="31"/>
  <c r="AE12" i="19" s="1"/>
  <c r="AE11" i="19" s="1"/>
  <c r="AL26" i="33"/>
  <c r="C23" i="33"/>
  <c r="P19" i="35"/>
  <c r="P25" i="35"/>
  <c r="N19" i="35"/>
  <c r="N25" i="35"/>
  <c r="T78" i="31"/>
  <c r="T80" i="31" s="1"/>
  <c r="T12" i="19" s="1"/>
  <c r="T11" i="19" s="1"/>
  <c r="R80" i="31"/>
  <c r="R12" i="19" s="1"/>
  <c r="R11" i="19" s="1"/>
  <c r="S80" i="31"/>
  <c r="S12" i="19" s="1"/>
  <c r="S11" i="19" s="1"/>
  <c r="N36" i="31"/>
  <c r="N79" i="31"/>
  <c r="N80" i="31" s="1"/>
  <c r="N12" i="19" s="1"/>
  <c r="N11" i="19" s="1"/>
  <c r="O36" i="31"/>
  <c r="O79" i="31"/>
  <c r="O80" i="31" s="1"/>
  <c r="O12" i="19" s="1"/>
  <c r="O11" i="19" s="1"/>
  <c r="Y36" i="31"/>
  <c r="Y79" i="31"/>
  <c r="Y80" i="31" s="1"/>
  <c r="Y12" i="19" s="1"/>
  <c r="Y11" i="19" s="1"/>
  <c r="F80" i="31"/>
  <c r="F12" i="19" s="1"/>
  <c r="F11" i="19" s="1"/>
  <c r="AG36" i="31"/>
  <c r="AG79" i="31"/>
  <c r="AG80" i="31" s="1"/>
  <c r="AG12" i="19" s="1"/>
  <c r="AG11" i="19" s="1"/>
  <c r="M36" i="31"/>
  <c r="M79" i="31"/>
  <c r="M80" i="31" s="1"/>
  <c r="M12" i="19" s="1"/>
  <c r="M11" i="19" s="1"/>
  <c r="D77" i="31"/>
  <c r="D73" i="31"/>
  <c r="D79" i="31"/>
  <c r="AL36" i="6"/>
  <c r="AL38" i="6" s="1"/>
  <c r="AL39" i="6" s="1"/>
  <c r="AH127" i="1"/>
  <c r="AH34" i="24"/>
  <c r="C35" i="31"/>
  <c r="AH126" i="1"/>
  <c r="AH33" i="24"/>
  <c r="C33" i="31"/>
  <c r="D50" i="10"/>
  <c r="C34" i="31"/>
  <c r="C71" i="31"/>
  <c r="AH125" i="1"/>
  <c r="AH32" i="24"/>
  <c r="D235" i="1"/>
  <c r="D41" i="36"/>
  <c r="F121" i="1"/>
  <c r="U121" i="1"/>
  <c r="Z121" i="1"/>
  <c r="K121" i="1"/>
  <c r="P121" i="1"/>
  <c r="AE121" i="1"/>
  <c r="K36" i="31"/>
  <c r="AF73" i="31"/>
  <c r="Q36" i="31"/>
  <c r="V36" i="31"/>
  <c r="J36" i="31"/>
  <c r="G36" i="31"/>
  <c r="AC36" i="31"/>
  <c r="W36" i="31"/>
  <c r="AE36" i="31"/>
  <c r="AD36" i="31"/>
  <c r="I36" i="31"/>
  <c r="R36" i="31"/>
  <c r="F36" i="31"/>
  <c r="L36" i="31"/>
  <c r="S36" i="31"/>
  <c r="U36" i="31"/>
  <c r="V12" i="19"/>
  <c r="V11" i="19" s="1"/>
  <c r="K12" i="19"/>
  <c r="K11" i="19" s="1"/>
  <c r="Z36" i="31"/>
  <c r="X36" i="31"/>
  <c r="AA36" i="31"/>
  <c r="W12" i="19"/>
  <c r="W11" i="19" s="1"/>
  <c r="AF12" i="19"/>
  <c r="AF11" i="19" s="1"/>
  <c r="AC12" i="19"/>
  <c r="AC11" i="19" s="1"/>
  <c r="D78" i="31"/>
  <c r="D36" i="31"/>
  <c r="E36" i="31"/>
  <c r="D238" i="1"/>
  <c r="D236" i="1"/>
  <c r="D239" i="1"/>
  <c r="D237" i="1"/>
  <c r="D240" i="1"/>
  <c r="D94" i="1"/>
  <c r="D93" i="1"/>
  <c r="D92" i="1"/>
  <c r="D91" i="1"/>
  <c r="E47" i="34" s="1"/>
  <c r="D90" i="1"/>
  <c r="E46" i="34" s="1"/>
  <c r="D89" i="1"/>
  <c r="E45" i="34" s="1"/>
  <c r="D88" i="1"/>
  <c r="E44" i="34" s="1"/>
  <c r="D60" i="1"/>
  <c r="D59" i="1"/>
  <c r="D58" i="1"/>
  <c r="C15" i="1"/>
  <c r="C16" i="1" s="1"/>
  <c r="D45" i="34" l="1"/>
  <c r="D51" i="34" s="1"/>
  <c r="D17" i="19" s="1"/>
  <c r="D38" i="34"/>
  <c r="C38" i="34" s="1"/>
  <c r="C25" i="34"/>
  <c r="C32" i="34"/>
  <c r="P29" i="35"/>
  <c r="P30" i="35"/>
  <c r="P35" i="35" s="1"/>
  <c r="P20" i="19" s="1"/>
  <c r="C13" i="19"/>
  <c r="AL11" i="19"/>
  <c r="AL14" i="19"/>
  <c r="C14" i="19" s="1"/>
  <c r="C26" i="33"/>
  <c r="C25" i="35"/>
  <c r="D30" i="35"/>
  <c r="D29" i="35"/>
  <c r="Z29" i="35"/>
  <c r="Z30" i="35"/>
  <c r="Z35" i="35" s="1"/>
  <c r="Z20" i="19" s="1"/>
  <c r="O30" i="35"/>
  <c r="O35" i="35" s="1"/>
  <c r="O20" i="19" s="1"/>
  <c r="O29" i="35"/>
  <c r="C19" i="35"/>
  <c r="N30" i="35"/>
  <c r="N29" i="35"/>
  <c r="AA30" i="35"/>
  <c r="AA35" i="35" s="1"/>
  <c r="AA20" i="19" s="1"/>
  <c r="AA29" i="35"/>
  <c r="AB30" i="35"/>
  <c r="AB29" i="35"/>
  <c r="D80" i="31"/>
  <c r="C80" i="31" s="1"/>
  <c r="C73" i="31"/>
  <c r="C36" i="31"/>
  <c r="C79" i="31"/>
  <c r="C78" i="31"/>
  <c r="AI126" i="1"/>
  <c r="AI33" i="24"/>
  <c r="D10" i="19"/>
  <c r="E48" i="34"/>
  <c r="F20" i="19"/>
  <c r="E49" i="34"/>
  <c r="AH35" i="24"/>
  <c r="AH22" i="19" s="1"/>
  <c r="E50" i="34"/>
  <c r="AI125" i="1"/>
  <c r="AI32" i="24"/>
  <c r="C77" i="31"/>
  <c r="AI127" i="1"/>
  <c r="AI34" i="24"/>
  <c r="E240" i="1"/>
  <c r="E46" i="36"/>
  <c r="E237" i="1"/>
  <c r="E43" i="36"/>
  <c r="E236" i="1"/>
  <c r="E42" i="36"/>
  <c r="D47" i="36"/>
  <c r="E235" i="1"/>
  <c r="E41" i="36"/>
  <c r="E239" i="1"/>
  <c r="E45" i="36"/>
  <c r="E238" i="1"/>
  <c r="E44" i="36"/>
  <c r="AF121" i="1"/>
  <c r="AF35" i="35"/>
  <c r="AF20" i="19" s="1"/>
  <c r="Q121" i="1"/>
  <c r="Q35" i="35"/>
  <c r="Q20" i="19" s="1"/>
  <c r="L121" i="1"/>
  <c r="L35" i="35"/>
  <c r="L20" i="19" s="1"/>
  <c r="E89" i="1"/>
  <c r="F45" i="34" s="1"/>
  <c r="E88" i="1"/>
  <c r="F44" i="34" s="1"/>
  <c r="E90" i="1"/>
  <c r="F46" i="34" s="1"/>
  <c r="AA121" i="1"/>
  <c r="V121" i="1"/>
  <c r="V35" i="35"/>
  <c r="V20" i="19" s="1"/>
  <c r="E91" i="1"/>
  <c r="F47" i="34" s="1"/>
  <c r="G121" i="1"/>
  <c r="G35" i="35"/>
  <c r="G20" i="19" s="1"/>
  <c r="E60" i="1"/>
  <c r="E32" i="10"/>
  <c r="E59" i="1"/>
  <c r="E31" i="10"/>
  <c r="E58" i="1"/>
  <c r="E30" i="10"/>
  <c r="E93" i="1"/>
  <c r="E48" i="10"/>
  <c r="E92" i="1"/>
  <c r="E47" i="10"/>
  <c r="E94" i="1"/>
  <c r="E49" i="10"/>
  <c r="E51" i="34" l="1"/>
  <c r="E17" i="19" s="1"/>
  <c r="D35" i="35"/>
  <c r="D20" i="19" s="1"/>
  <c r="C30" i="35"/>
  <c r="C29" i="35"/>
  <c r="F49" i="34"/>
  <c r="AI35" i="24"/>
  <c r="AI22" i="19" s="1"/>
  <c r="AJ127" i="1"/>
  <c r="AJ34" i="24"/>
  <c r="AJ126" i="1"/>
  <c r="AJ33" i="24"/>
  <c r="F48" i="34"/>
  <c r="F50" i="34"/>
  <c r="AJ125" i="1"/>
  <c r="AJ32" i="24"/>
  <c r="E47" i="36"/>
  <c r="E23" i="19" s="1"/>
  <c r="F235" i="1"/>
  <c r="F41" i="36"/>
  <c r="D23" i="19"/>
  <c r="F236" i="1"/>
  <c r="F42" i="36"/>
  <c r="F239" i="1"/>
  <c r="F45" i="36"/>
  <c r="D12" i="19"/>
  <c r="C12" i="19" s="1"/>
  <c r="F237" i="1"/>
  <c r="F43" i="36"/>
  <c r="F238" i="1"/>
  <c r="F44" i="36"/>
  <c r="F240" i="1"/>
  <c r="F46" i="36"/>
  <c r="F89" i="1"/>
  <c r="G45" i="34" s="1"/>
  <c r="F90" i="1"/>
  <c r="G46" i="34" s="1"/>
  <c r="H121" i="1"/>
  <c r="I35" i="35" s="1"/>
  <c r="I20" i="19" s="1"/>
  <c r="H35" i="35"/>
  <c r="H20" i="19" s="1"/>
  <c r="F91" i="1"/>
  <c r="G47" i="34" s="1"/>
  <c r="F88" i="1"/>
  <c r="G44" i="34" s="1"/>
  <c r="M121" i="1"/>
  <c r="N35" i="35" s="1"/>
  <c r="N20" i="19" s="1"/>
  <c r="M35" i="35"/>
  <c r="M20" i="19" s="1"/>
  <c r="W121" i="1"/>
  <c r="X35" i="35" s="1"/>
  <c r="X20" i="19" s="1"/>
  <c r="W35" i="35"/>
  <c r="W20" i="19" s="1"/>
  <c r="R121" i="1"/>
  <c r="S35" i="35" s="1"/>
  <c r="S20" i="19" s="1"/>
  <c r="R35" i="35"/>
  <c r="R20" i="19" s="1"/>
  <c r="AB121" i="1"/>
  <c r="AC35" i="35" s="1"/>
  <c r="AC20" i="19" s="1"/>
  <c r="AB35" i="35"/>
  <c r="AB20" i="19" s="1"/>
  <c r="AG121" i="1"/>
  <c r="AG35" i="35"/>
  <c r="AG20" i="19" s="1"/>
  <c r="E33" i="10"/>
  <c r="E9" i="19" s="1"/>
  <c r="F58" i="1"/>
  <c r="F30" i="10"/>
  <c r="F59" i="1"/>
  <c r="F31" i="10"/>
  <c r="F60" i="1"/>
  <c r="F32" i="10"/>
  <c r="E50" i="10"/>
  <c r="F92" i="1"/>
  <c r="F47" i="10"/>
  <c r="F94" i="1"/>
  <c r="F49" i="10"/>
  <c r="F93" i="1"/>
  <c r="F48" i="10"/>
  <c r="E14" i="1"/>
  <c r="AK127" i="1" l="1"/>
  <c r="AK34" i="24"/>
  <c r="G49" i="34"/>
  <c r="AH121" i="1"/>
  <c r="AH35" i="35"/>
  <c r="AH20" i="19" s="1"/>
  <c r="AH19" i="19"/>
  <c r="AK125" i="1"/>
  <c r="AK32" i="24"/>
  <c r="G50" i="34"/>
  <c r="AJ35" i="24"/>
  <c r="AJ22" i="19" s="1"/>
  <c r="G48" i="34"/>
  <c r="F51" i="34"/>
  <c r="AK126" i="1"/>
  <c r="AK33" i="24"/>
  <c r="E10" i="19"/>
  <c r="G236" i="1"/>
  <c r="G42" i="36"/>
  <c r="G238" i="1"/>
  <c r="G44" i="36"/>
  <c r="G240" i="1"/>
  <c r="G46" i="36"/>
  <c r="G237" i="1"/>
  <c r="G43" i="36"/>
  <c r="F47" i="36"/>
  <c r="G239" i="1"/>
  <c r="G45" i="36"/>
  <c r="D11" i="19"/>
  <c r="C11" i="19" s="1"/>
  <c r="G235" i="1"/>
  <c r="G41" i="36"/>
  <c r="G88" i="1"/>
  <c r="H44" i="34" s="1"/>
  <c r="G90" i="1"/>
  <c r="H46" i="34" s="1"/>
  <c r="G91" i="1"/>
  <c r="H47" i="34" s="1"/>
  <c r="G89" i="1"/>
  <c r="H45" i="34" s="1"/>
  <c r="G60" i="1"/>
  <c r="G32" i="10"/>
  <c r="G59" i="1"/>
  <c r="G31" i="10"/>
  <c r="F33" i="10"/>
  <c r="F9" i="19" s="1"/>
  <c r="G58" i="1"/>
  <c r="G30" i="10"/>
  <c r="F50" i="10"/>
  <c r="F10" i="19" s="1"/>
  <c r="G93" i="1"/>
  <c r="G48" i="10"/>
  <c r="G94" i="1"/>
  <c r="G49" i="10"/>
  <c r="G92" i="1"/>
  <c r="G47" i="10"/>
  <c r="E58" i="23"/>
  <c r="F58" i="23"/>
  <c r="G58" i="23"/>
  <c r="H58" i="23"/>
  <c r="I58" i="23"/>
  <c r="J58" i="23"/>
  <c r="K58" i="23"/>
  <c r="L58" i="23"/>
  <c r="M58" i="23"/>
  <c r="N58" i="23"/>
  <c r="O58" i="23"/>
  <c r="P58" i="23"/>
  <c r="Q58" i="23"/>
  <c r="R58" i="23"/>
  <c r="S58" i="23"/>
  <c r="T58" i="23"/>
  <c r="U58" i="23"/>
  <c r="V58" i="23"/>
  <c r="W58" i="23"/>
  <c r="X58" i="23"/>
  <c r="Y58" i="23"/>
  <c r="Z58" i="23"/>
  <c r="AA58" i="23"/>
  <c r="AB58" i="23"/>
  <c r="AC58" i="23"/>
  <c r="AD58" i="23"/>
  <c r="AE58" i="23"/>
  <c r="AF58" i="23"/>
  <c r="AG58" i="23"/>
  <c r="D58" i="23"/>
  <c r="D55" i="18"/>
  <c r="D21" i="18"/>
  <c r="G51" i="34" l="1"/>
  <c r="G17" i="19" s="1"/>
  <c r="AH18" i="19"/>
  <c r="H49" i="34"/>
  <c r="AL125" i="1"/>
  <c r="AL32" i="24"/>
  <c r="AI121" i="1"/>
  <c r="AI35" i="35"/>
  <c r="AI19" i="19"/>
  <c r="AL126" i="1"/>
  <c r="AL33" i="24"/>
  <c r="AL127" i="1"/>
  <c r="AL34" i="24"/>
  <c r="D68" i="18"/>
  <c r="C58" i="23"/>
  <c r="F17" i="19"/>
  <c r="H48" i="34"/>
  <c r="H50" i="34"/>
  <c r="AK35" i="24"/>
  <c r="AK22" i="19" s="1"/>
  <c r="H240" i="1"/>
  <c r="H46" i="36"/>
  <c r="H238" i="1"/>
  <c r="H44" i="36"/>
  <c r="H236" i="1"/>
  <c r="H42" i="36"/>
  <c r="H239" i="1"/>
  <c r="H45" i="36"/>
  <c r="F23" i="19"/>
  <c r="H235" i="1"/>
  <c r="H41" i="36"/>
  <c r="G47" i="36"/>
  <c r="G23" i="19" s="1"/>
  <c r="H237" i="1"/>
  <c r="H43" i="36"/>
  <c r="H91" i="1"/>
  <c r="I47" i="34" s="1"/>
  <c r="H90" i="1"/>
  <c r="I46" i="34" s="1"/>
  <c r="H89" i="1"/>
  <c r="I45" i="34" s="1"/>
  <c r="H88" i="1"/>
  <c r="I44" i="34" s="1"/>
  <c r="G33" i="10"/>
  <c r="H59" i="1"/>
  <c r="H31" i="10"/>
  <c r="H58" i="1"/>
  <c r="H30" i="10"/>
  <c r="H60" i="1"/>
  <c r="H32" i="10"/>
  <c r="G50" i="10"/>
  <c r="G10" i="19" s="1"/>
  <c r="H92" i="1"/>
  <c r="H47" i="10"/>
  <c r="H94" i="1"/>
  <c r="H49" i="10"/>
  <c r="H93" i="1"/>
  <c r="H48" i="10"/>
  <c r="G9" i="19" l="1"/>
  <c r="H51" i="34"/>
  <c r="H17" i="19" s="1"/>
  <c r="I49" i="34"/>
  <c r="AM126" i="1"/>
  <c r="AM125" i="1"/>
  <c r="I48" i="34"/>
  <c r="AM127" i="1"/>
  <c r="AL35" i="24"/>
  <c r="AL22" i="19" s="1"/>
  <c r="I50" i="34"/>
  <c r="AI20" i="19"/>
  <c r="AI18" i="19" s="1"/>
  <c r="AJ121" i="1"/>
  <c r="AJ19" i="19"/>
  <c r="AJ35" i="35"/>
  <c r="AJ20" i="19" s="1"/>
  <c r="I236" i="1"/>
  <c r="I42" i="36"/>
  <c r="I237" i="1"/>
  <c r="I43" i="36"/>
  <c r="I238" i="1"/>
  <c r="I44" i="36"/>
  <c r="I239" i="1"/>
  <c r="I45" i="36"/>
  <c r="I240" i="1"/>
  <c r="I46" i="36"/>
  <c r="H47" i="36"/>
  <c r="I235" i="1"/>
  <c r="I41" i="36"/>
  <c r="I89" i="1"/>
  <c r="J45" i="34" s="1"/>
  <c r="I69" i="18"/>
  <c r="I90" i="1"/>
  <c r="J46" i="34" s="1"/>
  <c r="I88" i="1"/>
  <c r="J44" i="34" s="1"/>
  <c r="I91" i="1"/>
  <c r="J47" i="34" s="1"/>
  <c r="I60" i="1"/>
  <c r="I32" i="10"/>
  <c r="H33" i="10"/>
  <c r="H9" i="19" s="1"/>
  <c r="I58" i="1"/>
  <c r="I30" i="10"/>
  <c r="I59" i="1"/>
  <c r="I31" i="10"/>
  <c r="I94" i="1"/>
  <c r="I49" i="10"/>
  <c r="I93" i="1"/>
  <c r="I48" i="10"/>
  <c r="H50" i="10"/>
  <c r="H10" i="19" s="1"/>
  <c r="I92" i="1"/>
  <c r="I47" i="10"/>
  <c r="H55" i="23"/>
  <c r="L55" i="23"/>
  <c r="P55" i="23"/>
  <c r="T55" i="23"/>
  <c r="X55" i="23"/>
  <c r="AB55" i="23"/>
  <c r="AF55" i="23"/>
  <c r="G56" i="23"/>
  <c r="K56" i="23"/>
  <c r="O56" i="23"/>
  <c r="S56" i="23"/>
  <c r="W56" i="23"/>
  <c r="AA56" i="23"/>
  <c r="AE56" i="23"/>
  <c r="F57" i="23"/>
  <c r="J57" i="23"/>
  <c r="N57" i="23"/>
  <c r="R57" i="23"/>
  <c r="V57" i="23"/>
  <c r="Z57" i="23"/>
  <c r="AD57" i="23"/>
  <c r="E59" i="23"/>
  <c r="I59" i="23"/>
  <c r="M59" i="23"/>
  <c r="Q59" i="23"/>
  <c r="U59" i="23"/>
  <c r="Y59" i="23"/>
  <c r="AC59" i="23"/>
  <c r="AG59" i="23"/>
  <c r="D55" i="23"/>
  <c r="E55" i="18"/>
  <c r="F55" i="18"/>
  <c r="F68" i="18" s="1"/>
  <c r="G55" i="18"/>
  <c r="G68" i="18" s="1"/>
  <c r="H55" i="18"/>
  <c r="H68" i="18" s="1"/>
  <c r="I55" i="18"/>
  <c r="I68" i="18" s="1"/>
  <c r="J55" i="18"/>
  <c r="K55" i="18"/>
  <c r="L55" i="18"/>
  <c r="M55" i="18"/>
  <c r="N55" i="18"/>
  <c r="O55" i="18"/>
  <c r="P55" i="18"/>
  <c r="Q55" i="18"/>
  <c r="R55" i="18"/>
  <c r="S55" i="18"/>
  <c r="T55" i="18"/>
  <c r="U55" i="18"/>
  <c r="V55" i="18"/>
  <c r="W55" i="18"/>
  <c r="X55" i="18"/>
  <c r="Y55" i="18"/>
  <c r="Z55" i="18"/>
  <c r="AA55" i="18"/>
  <c r="AB55" i="18"/>
  <c r="AC55" i="18"/>
  <c r="AD55" i="18"/>
  <c r="AE55" i="18"/>
  <c r="AF55" i="18"/>
  <c r="AG55" i="18"/>
  <c r="E56" i="18"/>
  <c r="E69" i="18" s="1"/>
  <c r="F56" i="18"/>
  <c r="F69" i="18" s="1"/>
  <c r="G56" i="18"/>
  <c r="G69" i="18" s="1"/>
  <c r="H56" i="18"/>
  <c r="H69" i="18" s="1"/>
  <c r="I56" i="18"/>
  <c r="J56" i="18"/>
  <c r="K56" i="18"/>
  <c r="L56" i="18"/>
  <c r="M56" i="18"/>
  <c r="N56" i="18"/>
  <c r="O56" i="18"/>
  <c r="P56" i="18"/>
  <c r="Q56" i="18"/>
  <c r="R56" i="18"/>
  <c r="S56" i="18"/>
  <c r="T56" i="18"/>
  <c r="U56" i="18"/>
  <c r="V56" i="18"/>
  <c r="W56" i="18"/>
  <c r="X56" i="18"/>
  <c r="Y56" i="18"/>
  <c r="Z56" i="18"/>
  <c r="AA56" i="18"/>
  <c r="AB56" i="18"/>
  <c r="AC56" i="18"/>
  <c r="AD56" i="18"/>
  <c r="AE56" i="18"/>
  <c r="AF56" i="18"/>
  <c r="AG56" i="18"/>
  <c r="E57" i="18"/>
  <c r="E70" i="18" s="1"/>
  <c r="F57" i="18"/>
  <c r="F70" i="18" s="1"/>
  <c r="G57" i="18"/>
  <c r="G70" i="18" s="1"/>
  <c r="H57" i="18"/>
  <c r="H70" i="18" s="1"/>
  <c r="I57" i="18"/>
  <c r="I70" i="18" s="1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Z57" i="18"/>
  <c r="AA57" i="18"/>
  <c r="AB57" i="18"/>
  <c r="AC57" i="18"/>
  <c r="AD57" i="18"/>
  <c r="AE57" i="18"/>
  <c r="AF57" i="18"/>
  <c r="AG57" i="18"/>
  <c r="E58" i="18"/>
  <c r="E71" i="18" s="1"/>
  <c r="F58" i="18"/>
  <c r="F71" i="18" s="1"/>
  <c r="G58" i="18"/>
  <c r="G71" i="18" s="1"/>
  <c r="H58" i="18"/>
  <c r="H71" i="18" s="1"/>
  <c r="I58" i="18"/>
  <c r="I71" i="18" s="1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X58" i="18"/>
  <c r="Y58" i="18"/>
  <c r="Z58" i="18"/>
  <c r="AA58" i="18"/>
  <c r="AB58" i="18"/>
  <c r="AC58" i="18"/>
  <c r="AD58" i="18"/>
  <c r="AE58" i="18"/>
  <c r="AF58" i="18"/>
  <c r="AG58" i="18"/>
  <c r="D56" i="18"/>
  <c r="D57" i="18"/>
  <c r="D58" i="18"/>
  <c r="I51" i="34" l="1"/>
  <c r="I17" i="19" s="1"/>
  <c r="AJ18" i="19"/>
  <c r="J49" i="34"/>
  <c r="C58" i="18"/>
  <c r="D71" i="18"/>
  <c r="AN127" i="1"/>
  <c r="C56" i="18"/>
  <c r="D69" i="18"/>
  <c r="AK121" i="1"/>
  <c r="AK35" i="35"/>
  <c r="AK20" i="19" s="1"/>
  <c r="AK19" i="19"/>
  <c r="J50" i="34"/>
  <c r="AN125" i="1"/>
  <c r="C57" i="18"/>
  <c r="D70" i="18"/>
  <c r="E68" i="18"/>
  <c r="C55" i="18"/>
  <c r="J48" i="34"/>
  <c r="AN126" i="1"/>
  <c r="J240" i="1"/>
  <c r="J46" i="36"/>
  <c r="J239" i="1"/>
  <c r="J45" i="36"/>
  <c r="J238" i="1"/>
  <c r="J44" i="36"/>
  <c r="J237" i="1"/>
  <c r="J43" i="36"/>
  <c r="H23" i="19"/>
  <c r="I47" i="36"/>
  <c r="I23" i="19" s="1"/>
  <c r="J235" i="1"/>
  <c r="J41" i="36"/>
  <c r="J236" i="1"/>
  <c r="J42" i="36"/>
  <c r="J91" i="1"/>
  <c r="K47" i="34" s="1"/>
  <c r="J71" i="18"/>
  <c r="J88" i="1"/>
  <c r="K44" i="34" s="1"/>
  <c r="J68" i="18"/>
  <c r="J90" i="1"/>
  <c r="K46" i="34" s="1"/>
  <c r="J70" i="18"/>
  <c r="J89" i="1"/>
  <c r="K45" i="34" s="1"/>
  <c r="J69" i="18"/>
  <c r="J59" i="1"/>
  <c r="J31" i="10"/>
  <c r="I33" i="10"/>
  <c r="J58" i="1"/>
  <c r="J30" i="10"/>
  <c r="I50" i="10"/>
  <c r="I10" i="19" s="1"/>
  <c r="J60" i="1"/>
  <c r="J32" i="10"/>
  <c r="J92" i="1"/>
  <c r="J47" i="10"/>
  <c r="J93" i="1"/>
  <c r="J48" i="10"/>
  <c r="J94" i="1"/>
  <c r="J49" i="10"/>
  <c r="D56" i="23"/>
  <c r="AF59" i="23"/>
  <c r="AB59" i="23"/>
  <c r="X59" i="23"/>
  <c r="T59" i="23"/>
  <c r="P59" i="23"/>
  <c r="L59" i="23"/>
  <c r="H59" i="23"/>
  <c r="AG57" i="23"/>
  <c r="AC57" i="23"/>
  <c r="Y57" i="23"/>
  <c r="U57" i="23"/>
  <c r="Q57" i="23"/>
  <c r="M57" i="23"/>
  <c r="I57" i="23"/>
  <c r="E57" i="23"/>
  <c r="Z56" i="23"/>
  <c r="V56" i="23"/>
  <c r="R56" i="23"/>
  <c r="J56" i="23"/>
  <c r="F56" i="23"/>
  <c r="AE55" i="23"/>
  <c r="W55" i="23"/>
  <c r="S55" i="23"/>
  <c r="O55" i="23"/>
  <c r="G55" i="23"/>
  <c r="D57" i="23"/>
  <c r="AE59" i="23"/>
  <c r="AA59" i="23"/>
  <c r="W59" i="23"/>
  <c r="S59" i="23"/>
  <c r="O59" i="23"/>
  <c r="K59" i="23"/>
  <c r="G59" i="23"/>
  <c r="AF57" i="23"/>
  <c r="AB57" i="23"/>
  <c r="X57" i="23"/>
  <c r="T57" i="23"/>
  <c r="P57" i="23"/>
  <c r="L57" i="23"/>
  <c r="H57" i="23"/>
  <c r="AG56" i="23"/>
  <c r="AC56" i="23"/>
  <c r="Y56" i="23"/>
  <c r="U56" i="23"/>
  <c r="Q56" i="23"/>
  <c r="M56" i="23"/>
  <c r="I56" i="23"/>
  <c r="E56" i="23"/>
  <c r="AD55" i="23"/>
  <c r="Z55" i="23"/>
  <c r="V55" i="23"/>
  <c r="R55" i="23"/>
  <c r="N55" i="23"/>
  <c r="J55" i="23"/>
  <c r="F55" i="23"/>
  <c r="D59" i="23"/>
  <c r="AD59" i="23"/>
  <c r="Z59" i="23"/>
  <c r="V59" i="23"/>
  <c r="R59" i="23"/>
  <c r="N59" i="23"/>
  <c r="J59" i="23"/>
  <c r="F59" i="23"/>
  <c r="AE57" i="23"/>
  <c r="AA57" i="23"/>
  <c r="W57" i="23"/>
  <c r="S57" i="23"/>
  <c r="O57" i="23"/>
  <c r="K57" i="23"/>
  <c r="G57" i="23"/>
  <c r="AF56" i="23"/>
  <c r="AB56" i="23"/>
  <c r="X56" i="23"/>
  <c r="T56" i="23"/>
  <c r="P56" i="23"/>
  <c r="L56" i="23"/>
  <c r="H56" i="23"/>
  <c r="AG55" i="23"/>
  <c r="AC55" i="23"/>
  <c r="Y55" i="23"/>
  <c r="U55" i="23"/>
  <c r="Q55" i="23"/>
  <c r="M55" i="23"/>
  <c r="I55" i="23"/>
  <c r="E55" i="23"/>
  <c r="AD22" i="18"/>
  <c r="Z22" i="18"/>
  <c r="R22" i="18"/>
  <c r="N22" i="18"/>
  <c r="J22" i="18"/>
  <c r="G15" i="18"/>
  <c r="AG21" i="18"/>
  <c r="AC21" i="18"/>
  <c r="Y21" i="18"/>
  <c r="U21" i="18"/>
  <c r="Q21" i="18"/>
  <c r="M21" i="18"/>
  <c r="I21" i="18"/>
  <c r="E21" i="18"/>
  <c r="S22" i="18"/>
  <c r="AE7" i="18"/>
  <c r="W21" i="18"/>
  <c r="S21" i="18"/>
  <c r="K7" i="18"/>
  <c r="G21" i="18"/>
  <c r="AA15" i="18"/>
  <c r="W15" i="18"/>
  <c r="K15" i="18"/>
  <c r="AA7" i="18"/>
  <c r="AA21" i="18"/>
  <c r="K21" i="18"/>
  <c r="Y22" i="18"/>
  <c r="AG15" i="18"/>
  <c r="AC15" i="18"/>
  <c r="Y15" i="18"/>
  <c r="U15" i="18"/>
  <c r="Q15" i="18"/>
  <c r="M15" i="18"/>
  <c r="I15" i="18"/>
  <c r="E15" i="18"/>
  <c r="AD56" i="23"/>
  <c r="N56" i="23"/>
  <c r="AA55" i="23"/>
  <c r="K55" i="23"/>
  <c r="AF21" i="18"/>
  <c r="AB21" i="18"/>
  <c r="X21" i="18"/>
  <c r="T21" i="18"/>
  <c r="P21" i="18"/>
  <c r="L21" i="18"/>
  <c r="H21" i="18"/>
  <c r="Z21" i="18"/>
  <c r="V7" i="18"/>
  <c r="J21" i="18"/>
  <c r="F7" i="18"/>
  <c r="Y7" i="18"/>
  <c r="I7" i="18"/>
  <c r="AE21" i="18"/>
  <c r="S15" i="18"/>
  <c r="O21" i="18"/>
  <c r="N21" i="18"/>
  <c r="N7" i="18"/>
  <c r="F21" i="18"/>
  <c r="V21" i="18"/>
  <c r="Z7" i="18"/>
  <c r="AF7" i="18"/>
  <c r="AB7" i="18"/>
  <c r="X7" i="18"/>
  <c r="T7" i="18"/>
  <c r="P7" i="18"/>
  <c r="L7" i="18"/>
  <c r="H7" i="18"/>
  <c r="AC22" i="18"/>
  <c r="M22" i="18"/>
  <c r="I22" i="18"/>
  <c r="O7" i="18"/>
  <c r="D15" i="18"/>
  <c r="AD15" i="18"/>
  <c r="Z15" i="18"/>
  <c r="V15" i="18"/>
  <c r="R15" i="18"/>
  <c r="N15" i="18"/>
  <c r="J15" i="18"/>
  <c r="AE15" i="18"/>
  <c r="O15" i="18"/>
  <c r="AD21" i="18"/>
  <c r="AD7" i="18"/>
  <c r="R7" i="18"/>
  <c r="R21" i="18"/>
  <c r="J7" i="18"/>
  <c r="W22" i="18"/>
  <c r="G22" i="18"/>
  <c r="W7" i="18"/>
  <c r="G7" i="18"/>
  <c r="AF22" i="18"/>
  <c r="AB22" i="18"/>
  <c r="X22" i="18"/>
  <c r="T22" i="18"/>
  <c r="P22" i="18"/>
  <c r="L22" i="18"/>
  <c r="H22" i="18"/>
  <c r="F15" i="18"/>
  <c r="D22" i="18"/>
  <c r="AG22" i="18"/>
  <c r="AA22" i="18"/>
  <c r="V22" i="18"/>
  <c r="Q22" i="18"/>
  <c r="K22" i="18"/>
  <c r="F22" i="18"/>
  <c r="AC7" i="18"/>
  <c r="M7" i="18"/>
  <c r="S7" i="18"/>
  <c r="AE22" i="18"/>
  <c r="U22" i="18"/>
  <c r="O22" i="18"/>
  <c r="E22" i="18"/>
  <c r="AF15" i="18"/>
  <c r="AB15" i="18"/>
  <c r="X15" i="18"/>
  <c r="T15" i="18"/>
  <c r="P15" i="18"/>
  <c r="L15" i="18"/>
  <c r="H15" i="18"/>
  <c r="U49" i="23"/>
  <c r="E49" i="23"/>
  <c r="AG49" i="23"/>
  <c r="AC49" i="23"/>
  <c r="Y49" i="23"/>
  <c r="Q49" i="23"/>
  <c r="M49" i="23"/>
  <c r="I49" i="23"/>
  <c r="AD49" i="23"/>
  <c r="Z49" i="23"/>
  <c r="V49" i="23"/>
  <c r="R49" i="23"/>
  <c r="N49" i="23"/>
  <c r="J49" i="23"/>
  <c r="AE49" i="23"/>
  <c r="AA49" i="23"/>
  <c r="W49" i="23"/>
  <c r="S49" i="23"/>
  <c r="O49" i="23"/>
  <c r="K49" i="23"/>
  <c r="G49" i="23"/>
  <c r="AF49" i="23"/>
  <c r="AB49" i="23"/>
  <c r="X49" i="23"/>
  <c r="T49" i="23"/>
  <c r="P49" i="23"/>
  <c r="L49" i="23"/>
  <c r="H49" i="23"/>
  <c r="AE38" i="23"/>
  <c r="AA38" i="23"/>
  <c r="W38" i="23"/>
  <c r="S38" i="23"/>
  <c r="O38" i="23"/>
  <c r="K38" i="23"/>
  <c r="G38" i="23"/>
  <c r="AB38" i="23"/>
  <c r="T38" i="23"/>
  <c r="L38" i="23"/>
  <c r="D49" i="23"/>
  <c r="F49" i="23"/>
  <c r="AG38" i="23"/>
  <c r="AC38" i="23"/>
  <c r="Y38" i="23"/>
  <c r="U38" i="23"/>
  <c r="Q38" i="23"/>
  <c r="M38" i="23"/>
  <c r="I38" i="23"/>
  <c r="E38" i="23"/>
  <c r="AF38" i="23"/>
  <c r="X38" i="23"/>
  <c r="P38" i="23"/>
  <c r="H38" i="23"/>
  <c r="AD38" i="23"/>
  <c r="Z38" i="23"/>
  <c r="V38" i="23"/>
  <c r="R38" i="23"/>
  <c r="N38" i="23"/>
  <c r="J38" i="23"/>
  <c r="F38" i="23"/>
  <c r="D38" i="23"/>
  <c r="AG7" i="18"/>
  <c r="Q7" i="18"/>
  <c r="U7" i="18"/>
  <c r="E7" i="18"/>
  <c r="D7" i="18"/>
  <c r="C7" i="18" s="1"/>
  <c r="I9" i="19" l="1"/>
  <c r="J51" i="34"/>
  <c r="J17" i="19" s="1"/>
  <c r="AK18" i="19"/>
  <c r="C49" i="23"/>
  <c r="C55" i="23"/>
  <c r="K49" i="34"/>
  <c r="AO127" i="1"/>
  <c r="C21" i="18"/>
  <c r="C57" i="23"/>
  <c r="K48" i="34"/>
  <c r="AO126" i="1"/>
  <c r="C59" i="23"/>
  <c r="C56" i="23"/>
  <c r="AL121" i="1"/>
  <c r="AL35" i="35"/>
  <c r="AL20" i="19" s="1"/>
  <c r="AL19" i="19"/>
  <c r="C38" i="23"/>
  <c r="C22" i="18"/>
  <c r="AO125" i="1"/>
  <c r="K50" i="34"/>
  <c r="C15" i="18"/>
  <c r="K237" i="1"/>
  <c r="K43" i="36"/>
  <c r="K238" i="1"/>
  <c r="K44" i="36"/>
  <c r="K236" i="1"/>
  <c r="K42" i="36"/>
  <c r="K239" i="1"/>
  <c r="K45" i="36"/>
  <c r="J47" i="36"/>
  <c r="J23" i="19" s="1"/>
  <c r="K235" i="1"/>
  <c r="K41" i="36"/>
  <c r="K240" i="1"/>
  <c r="K46" i="36"/>
  <c r="K89" i="1"/>
  <c r="L45" i="34" s="1"/>
  <c r="K69" i="18"/>
  <c r="K90" i="1"/>
  <c r="L46" i="34" s="1"/>
  <c r="K70" i="18"/>
  <c r="K88" i="1"/>
  <c r="L44" i="34" s="1"/>
  <c r="K68" i="18"/>
  <c r="K91" i="1"/>
  <c r="L47" i="34" s="1"/>
  <c r="K71" i="18"/>
  <c r="K60" i="1"/>
  <c r="K32" i="10"/>
  <c r="J33" i="10"/>
  <c r="J9" i="19" s="1"/>
  <c r="K58" i="1"/>
  <c r="K30" i="10"/>
  <c r="K59" i="1"/>
  <c r="K31" i="10"/>
  <c r="K94" i="1"/>
  <c r="K49" i="10"/>
  <c r="K93" i="1"/>
  <c r="K48" i="10"/>
  <c r="J50" i="10"/>
  <c r="J10" i="19" s="1"/>
  <c r="K92" i="1"/>
  <c r="K47" i="10"/>
  <c r="D60" i="23"/>
  <c r="M60" i="18"/>
  <c r="R23" i="18"/>
  <c r="AG23" i="18"/>
  <c r="G59" i="18"/>
  <c r="G72" i="18" s="1"/>
  <c r="AA60" i="18"/>
  <c r="J60" i="18"/>
  <c r="J73" i="18" s="1"/>
  <c r="K60" i="18"/>
  <c r="K73" i="18" s="1"/>
  <c r="Q23" i="18"/>
  <c r="U23" i="18"/>
  <c r="O23" i="18"/>
  <c r="W61" i="18"/>
  <c r="J23" i="18"/>
  <c r="F23" i="18"/>
  <c r="AC23" i="18"/>
  <c r="Z23" i="18"/>
  <c r="T23" i="18"/>
  <c r="K23" i="18"/>
  <c r="AF61" i="18"/>
  <c r="AD23" i="18"/>
  <c r="S23" i="18"/>
  <c r="AA23" i="18"/>
  <c r="H23" i="18"/>
  <c r="N23" i="18"/>
  <c r="V61" i="18"/>
  <c r="V23" i="18"/>
  <c r="W23" i="18"/>
  <c r="P61" i="18"/>
  <c r="AB23" i="18"/>
  <c r="Y61" i="18"/>
  <c r="G23" i="18"/>
  <c r="E23" i="18"/>
  <c r="P23" i="18"/>
  <c r="Y23" i="18"/>
  <c r="AB61" i="18"/>
  <c r="M23" i="18"/>
  <c r="H60" i="18"/>
  <c r="H73" i="18" s="1"/>
  <c r="X23" i="18"/>
  <c r="U61" i="18"/>
  <c r="V59" i="18"/>
  <c r="AE23" i="18"/>
  <c r="AA61" i="18"/>
  <c r="AF23" i="18"/>
  <c r="R60" i="18"/>
  <c r="Z60" i="18"/>
  <c r="X60" i="18"/>
  <c r="S59" i="18"/>
  <c r="F59" i="18"/>
  <c r="F72" i="18" s="1"/>
  <c r="AC60" i="18"/>
  <c r="G61" i="18"/>
  <c r="G74" i="18" s="1"/>
  <c r="I23" i="18"/>
  <c r="L23" i="18"/>
  <c r="D23" i="18"/>
  <c r="C23" i="18" s="1"/>
  <c r="K51" i="34" l="1"/>
  <c r="K17" i="19" s="1"/>
  <c r="AL18" i="19"/>
  <c r="L49" i="34"/>
  <c r="AP126" i="1"/>
  <c r="AP127" i="1"/>
  <c r="L50" i="34"/>
  <c r="AM121" i="1"/>
  <c r="C61" i="23"/>
  <c r="C60" i="23"/>
  <c r="L48" i="34"/>
  <c r="AP125" i="1"/>
  <c r="L235" i="1"/>
  <c r="L41" i="36"/>
  <c r="L239" i="1"/>
  <c r="L45" i="36"/>
  <c r="L236" i="1"/>
  <c r="L42" i="36"/>
  <c r="L238" i="1"/>
  <c r="L44" i="36"/>
  <c r="L237" i="1"/>
  <c r="L43" i="36"/>
  <c r="L240" i="1"/>
  <c r="L46" i="36"/>
  <c r="K47" i="36"/>
  <c r="K23" i="19" s="1"/>
  <c r="L91" i="1"/>
  <c r="M47" i="34" s="1"/>
  <c r="L71" i="18"/>
  <c r="L88" i="1"/>
  <c r="M44" i="34" s="1"/>
  <c r="L68" i="18"/>
  <c r="L90" i="1"/>
  <c r="M46" i="34" s="1"/>
  <c r="L70" i="18"/>
  <c r="L89" i="1"/>
  <c r="M45" i="34" s="1"/>
  <c r="L69" i="18"/>
  <c r="L59" i="1"/>
  <c r="L31" i="10"/>
  <c r="K33" i="10"/>
  <c r="K9" i="19" s="1"/>
  <c r="L58" i="1"/>
  <c r="L30" i="10"/>
  <c r="L60" i="1"/>
  <c r="L32" i="10"/>
  <c r="K50" i="10"/>
  <c r="K10" i="19" s="1"/>
  <c r="L92" i="1"/>
  <c r="L47" i="10"/>
  <c r="L93" i="1"/>
  <c r="L48" i="10"/>
  <c r="L94" i="1"/>
  <c r="L49" i="10"/>
  <c r="Y60" i="18"/>
  <c r="T60" i="18"/>
  <c r="L61" i="18"/>
  <c r="L74" i="18" s="1"/>
  <c r="Q61" i="18"/>
  <c r="AE59" i="18"/>
  <c r="AE36" i="18"/>
  <c r="AE61" i="18"/>
  <c r="AD61" i="18"/>
  <c r="V36" i="18"/>
  <c r="AG61" i="18"/>
  <c r="N60" i="18"/>
  <c r="E60" i="18"/>
  <c r="E73" i="18" s="1"/>
  <c r="F61" i="18"/>
  <c r="F74" i="18" s="1"/>
  <c r="G60" i="18"/>
  <c r="G73" i="18" s="1"/>
  <c r="Q60" i="18"/>
  <c r="U60" i="18"/>
  <c r="AB36" i="18"/>
  <c r="Y36" i="18"/>
  <c r="L36" i="18"/>
  <c r="AE60" i="18"/>
  <c r="I60" i="18"/>
  <c r="I73" i="18" s="1"/>
  <c r="AB60" i="18"/>
  <c r="H61" i="18"/>
  <c r="H74" i="18" s="1"/>
  <c r="F36" i="18"/>
  <c r="D61" i="18"/>
  <c r="P36" i="18"/>
  <c r="V60" i="18"/>
  <c r="AA59" i="18"/>
  <c r="W59" i="18"/>
  <c r="M61" i="18"/>
  <c r="K59" i="18"/>
  <c r="K72" i="18" s="1"/>
  <c r="X61" i="18"/>
  <c r="T61" i="18"/>
  <c r="K36" i="18"/>
  <c r="AG60" i="18"/>
  <c r="F60" i="18"/>
  <c r="F73" i="18" s="1"/>
  <c r="Z61" i="18"/>
  <c r="H36" i="18"/>
  <c r="AF59" i="18"/>
  <c r="AC61" i="18"/>
  <c r="AA36" i="18"/>
  <c r="K61" i="18"/>
  <c r="K74" i="18" s="1"/>
  <c r="L59" i="18"/>
  <c r="L72" i="18" s="1"/>
  <c r="W60" i="18"/>
  <c r="J61" i="18"/>
  <c r="J74" i="18" s="1"/>
  <c r="P60" i="18"/>
  <c r="I59" i="18"/>
  <c r="I72" i="18" s="1"/>
  <c r="H59" i="18"/>
  <c r="H72" i="18" s="1"/>
  <c r="T59" i="18"/>
  <c r="I61" i="18"/>
  <c r="I74" i="18" s="1"/>
  <c r="Y59" i="18"/>
  <c r="S61" i="18"/>
  <c r="X59" i="18"/>
  <c r="S60" i="18"/>
  <c r="L60" i="18"/>
  <c r="L73" i="18" s="1"/>
  <c r="I36" i="18"/>
  <c r="N59" i="18"/>
  <c r="N36" i="18"/>
  <c r="AD36" i="18"/>
  <c r="AD59" i="18"/>
  <c r="J36" i="18"/>
  <c r="E61" i="18"/>
  <c r="E74" i="18" s="1"/>
  <c r="X36" i="18"/>
  <c r="R61" i="18"/>
  <c r="D59" i="18"/>
  <c r="AF60" i="18"/>
  <c r="AF36" i="18"/>
  <c r="Z59" i="18"/>
  <c r="O60" i="18"/>
  <c r="Q36" i="18"/>
  <c r="Q59" i="18"/>
  <c r="AC36" i="18"/>
  <c r="AC59" i="18"/>
  <c r="W36" i="18"/>
  <c r="R36" i="18"/>
  <c r="R59" i="18"/>
  <c r="M36" i="18"/>
  <c r="M59" i="18"/>
  <c r="U36" i="18"/>
  <c r="U59" i="18"/>
  <c r="N61" i="18"/>
  <c r="P59" i="18"/>
  <c r="E36" i="18"/>
  <c r="E59" i="18"/>
  <c r="E72" i="18" s="1"/>
  <c r="AG36" i="18"/>
  <c r="AG59" i="18"/>
  <c r="O59" i="18"/>
  <c r="O36" i="18"/>
  <c r="O61" i="18"/>
  <c r="D36" i="18"/>
  <c r="D60" i="18"/>
  <c r="S36" i="18"/>
  <c r="T36" i="18"/>
  <c r="AB59" i="18"/>
  <c r="AD60" i="18"/>
  <c r="J59" i="18"/>
  <c r="J72" i="18" s="1"/>
  <c r="Z36" i="18"/>
  <c r="G36" i="18"/>
  <c r="D4" i="19"/>
  <c r="D4" i="24"/>
  <c r="D4" i="23"/>
  <c r="D4" i="18"/>
  <c r="D4" i="10"/>
  <c r="D4" i="6"/>
  <c r="D4" i="4"/>
  <c r="D4" i="3"/>
  <c r="D4" i="2"/>
  <c r="I4" i="2" s="1"/>
  <c r="I25" i="2" s="1"/>
  <c r="L51" i="34" l="1"/>
  <c r="L17" i="19" s="1"/>
  <c r="C60" i="18"/>
  <c r="D73" i="18"/>
  <c r="M72" i="18"/>
  <c r="M48" i="34"/>
  <c r="AQ126" i="1"/>
  <c r="AR126" i="1" s="1"/>
  <c r="AS126" i="1" s="1"/>
  <c r="AT126" i="1" s="1"/>
  <c r="AU126" i="1" s="1"/>
  <c r="AV126" i="1" s="1"/>
  <c r="AW126" i="1" s="1"/>
  <c r="AX126" i="1" s="1"/>
  <c r="AY126" i="1" s="1"/>
  <c r="AZ126" i="1" s="1"/>
  <c r="BA126" i="1" s="1"/>
  <c r="BB126" i="1" s="1"/>
  <c r="C36" i="18"/>
  <c r="AQ125" i="1"/>
  <c r="AR125" i="1" s="1"/>
  <c r="AS125" i="1" s="1"/>
  <c r="AT125" i="1" s="1"/>
  <c r="AU125" i="1" s="1"/>
  <c r="AV125" i="1" s="1"/>
  <c r="AW125" i="1" s="1"/>
  <c r="AX125" i="1" s="1"/>
  <c r="AY125" i="1" s="1"/>
  <c r="AZ125" i="1" s="1"/>
  <c r="BA125" i="1" s="1"/>
  <c r="BB125" i="1" s="1"/>
  <c r="C59" i="18"/>
  <c r="D72" i="18"/>
  <c r="C61" i="18"/>
  <c r="D74" i="18"/>
  <c r="AN121" i="1"/>
  <c r="AG4" i="19"/>
  <c r="AH4" i="19"/>
  <c r="AI4" i="19"/>
  <c r="AJ4" i="19"/>
  <c r="AK4" i="19"/>
  <c r="AL4" i="19"/>
  <c r="D47" i="6"/>
  <c r="AI4" i="6"/>
  <c r="AH4" i="6"/>
  <c r="AJ4" i="6"/>
  <c r="AK4" i="6"/>
  <c r="AL4" i="6"/>
  <c r="D26" i="3"/>
  <c r="AJ15" i="3"/>
  <c r="AH4" i="3"/>
  <c r="AK15" i="3"/>
  <c r="AI4" i="3"/>
  <c r="AL15" i="3"/>
  <c r="AJ4" i="3"/>
  <c r="AK4" i="3"/>
  <c r="AL4" i="3"/>
  <c r="AH15" i="3"/>
  <c r="AI15" i="3"/>
  <c r="E38" i="10"/>
  <c r="E54" i="10" s="1"/>
  <c r="AH21" i="10"/>
  <c r="AJ38" i="10"/>
  <c r="AJ54" i="10" s="1"/>
  <c r="AI21" i="10"/>
  <c r="AK38" i="10"/>
  <c r="AK54" i="10" s="1"/>
  <c r="AH4" i="10"/>
  <c r="AJ21" i="10"/>
  <c r="AL38" i="10"/>
  <c r="AL54" i="10" s="1"/>
  <c r="AK4" i="10"/>
  <c r="AI4" i="10"/>
  <c r="AH38" i="10"/>
  <c r="AH54" i="10" s="1"/>
  <c r="AJ4" i="10"/>
  <c r="AI38" i="10"/>
  <c r="AI54" i="10" s="1"/>
  <c r="AL4" i="10"/>
  <c r="AK21" i="10"/>
  <c r="AL21" i="10"/>
  <c r="M74" i="18"/>
  <c r="M50" i="34"/>
  <c r="D20" i="4"/>
  <c r="AL4" i="4"/>
  <c r="AK4" i="4"/>
  <c r="AH4" i="4"/>
  <c r="AI4" i="4"/>
  <c r="AJ4" i="4"/>
  <c r="AH4" i="23"/>
  <c r="AI4" i="23"/>
  <c r="AJ4" i="23"/>
  <c r="AK4" i="23"/>
  <c r="AL4" i="23"/>
  <c r="M73" i="18"/>
  <c r="M49" i="34"/>
  <c r="AQ127" i="1"/>
  <c r="AR127" i="1" s="1"/>
  <c r="AS127" i="1" s="1"/>
  <c r="AT127" i="1" s="1"/>
  <c r="AU127" i="1" s="1"/>
  <c r="AV127" i="1" s="1"/>
  <c r="AW127" i="1" s="1"/>
  <c r="AX127" i="1" s="1"/>
  <c r="AY127" i="1" s="1"/>
  <c r="AZ127" i="1" s="1"/>
  <c r="BA127" i="1" s="1"/>
  <c r="BB127" i="1" s="1"/>
  <c r="M237" i="1"/>
  <c r="M43" i="36"/>
  <c r="M238" i="1"/>
  <c r="M44" i="36"/>
  <c r="M236" i="1"/>
  <c r="M42" i="36"/>
  <c r="M240" i="1"/>
  <c r="M46" i="36"/>
  <c r="M239" i="1"/>
  <c r="M45" i="36"/>
  <c r="L47" i="36"/>
  <c r="M235" i="1"/>
  <c r="M41" i="36"/>
  <c r="M89" i="1"/>
  <c r="N45" i="34" s="1"/>
  <c r="M69" i="18"/>
  <c r="M90" i="1"/>
  <c r="N46" i="34" s="1"/>
  <c r="M70" i="18"/>
  <c r="M88" i="1"/>
  <c r="N44" i="34" s="1"/>
  <c r="M68" i="18"/>
  <c r="M91" i="1"/>
  <c r="N47" i="34" s="1"/>
  <c r="M71" i="18"/>
  <c r="D21" i="10"/>
  <c r="D38" i="10"/>
  <c r="D54" i="10" s="1"/>
  <c r="M60" i="1"/>
  <c r="M32" i="10"/>
  <c r="L33" i="10"/>
  <c r="L9" i="19" s="1"/>
  <c r="M58" i="1"/>
  <c r="M30" i="10"/>
  <c r="M59" i="1"/>
  <c r="M31" i="10"/>
  <c r="AE38" i="10"/>
  <c r="AE54" i="10" s="1"/>
  <c r="S38" i="10"/>
  <c r="S54" i="10" s="1"/>
  <c r="G38" i="10"/>
  <c r="G54" i="10" s="1"/>
  <c r="R38" i="10"/>
  <c r="R54" i="10" s="1"/>
  <c r="F38" i="10"/>
  <c r="F54" i="10" s="1"/>
  <c r="AD38" i="10"/>
  <c r="AD54" i="10" s="1"/>
  <c r="AC38" i="10"/>
  <c r="AC54" i="10" s="1"/>
  <c r="Q38" i="10"/>
  <c r="Q54" i="10" s="1"/>
  <c r="AB38" i="10"/>
  <c r="AB54" i="10" s="1"/>
  <c r="P38" i="10"/>
  <c r="P54" i="10" s="1"/>
  <c r="AA38" i="10"/>
  <c r="AA54" i="10" s="1"/>
  <c r="O38" i="10"/>
  <c r="O54" i="10" s="1"/>
  <c r="L38" i="10"/>
  <c r="L54" i="10" s="1"/>
  <c r="Z38" i="10"/>
  <c r="Z54" i="10" s="1"/>
  <c r="N38" i="10"/>
  <c r="N54" i="10" s="1"/>
  <c r="K38" i="10"/>
  <c r="K54" i="10" s="1"/>
  <c r="V38" i="10"/>
  <c r="V54" i="10" s="1"/>
  <c r="AF38" i="10"/>
  <c r="AF54" i="10" s="1"/>
  <c r="H38" i="10"/>
  <c r="H54" i="10" s="1"/>
  <c r="Y38" i="10"/>
  <c r="Y54" i="10" s="1"/>
  <c r="M38" i="10"/>
  <c r="M54" i="10" s="1"/>
  <c r="X38" i="10"/>
  <c r="X54" i="10" s="1"/>
  <c r="W38" i="10"/>
  <c r="W54" i="10" s="1"/>
  <c r="J38" i="10"/>
  <c r="J54" i="10" s="1"/>
  <c r="AG38" i="10"/>
  <c r="AG54" i="10" s="1"/>
  <c r="U38" i="10"/>
  <c r="U54" i="10" s="1"/>
  <c r="I38" i="10"/>
  <c r="I54" i="10" s="1"/>
  <c r="T38" i="10"/>
  <c r="T54" i="10" s="1"/>
  <c r="M94" i="1"/>
  <c r="M49" i="10"/>
  <c r="M93" i="1"/>
  <c r="M48" i="10"/>
  <c r="L50" i="10"/>
  <c r="L10" i="19" s="1"/>
  <c r="M92" i="1"/>
  <c r="M47" i="10"/>
  <c r="AE21" i="10"/>
  <c r="S21" i="10"/>
  <c r="G21" i="10"/>
  <c r="Y21" i="10"/>
  <c r="X21" i="10"/>
  <c r="AD21" i="10"/>
  <c r="R21" i="10"/>
  <c r="F21" i="10"/>
  <c r="W21" i="10"/>
  <c r="I21" i="10"/>
  <c r="AC21" i="10"/>
  <c r="Q21" i="10"/>
  <c r="E21" i="10"/>
  <c r="AB21" i="10"/>
  <c r="P21" i="10"/>
  <c r="K21" i="10"/>
  <c r="V21" i="10"/>
  <c r="U21" i="10"/>
  <c r="H21" i="10"/>
  <c r="Z21" i="10"/>
  <c r="T21" i="10"/>
  <c r="AA21" i="10"/>
  <c r="O21" i="10"/>
  <c r="N21" i="10"/>
  <c r="M21" i="10"/>
  <c r="J21" i="10"/>
  <c r="AG21" i="10"/>
  <c r="L21" i="10"/>
  <c r="AF21" i="10"/>
  <c r="E4" i="2"/>
  <c r="H4" i="2"/>
  <c r="H25" i="2" s="1"/>
  <c r="D22" i="23"/>
  <c r="D32" i="23"/>
  <c r="D54" i="23"/>
  <c r="D43" i="23"/>
  <c r="D28" i="18"/>
  <c r="E28" i="18" s="1"/>
  <c r="F28" i="18" s="1"/>
  <c r="G28" i="18" s="1"/>
  <c r="H28" i="18" s="1"/>
  <c r="I28" i="18" s="1"/>
  <c r="J28" i="18" s="1"/>
  <c r="K28" i="18" s="1"/>
  <c r="L28" i="18" s="1"/>
  <c r="M28" i="18" s="1"/>
  <c r="N28" i="18" s="1"/>
  <c r="O28" i="18" s="1"/>
  <c r="P28" i="18" s="1"/>
  <c r="Q28" i="18" s="1"/>
  <c r="R28" i="18" s="1"/>
  <c r="S28" i="18" s="1"/>
  <c r="T28" i="18" s="1"/>
  <c r="U28" i="18" s="1"/>
  <c r="V28" i="18" s="1"/>
  <c r="W28" i="18" s="1"/>
  <c r="X28" i="18" s="1"/>
  <c r="Y28" i="18" s="1"/>
  <c r="Z28" i="18" s="1"/>
  <c r="AA28" i="18" s="1"/>
  <c r="AB28" i="18" s="1"/>
  <c r="AC28" i="18" s="1"/>
  <c r="AD28" i="18" s="1"/>
  <c r="AE28" i="18" s="1"/>
  <c r="AF28" i="18" s="1"/>
  <c r="AG28" i="18" s="1"/>
  <c r="AH28" i="18" s="1"/>
  <c r="AI28" i="18" s="1"/>
  <c r="AJ28" i="18" s="1"/>
  <c r="AK28" i="18" s="1"/>
  <c r="AL28" i="18" s="1"/>
  <c r="AM28" i="18" s="1"/>
  <c r="AN28" i="18" s="1"/>
  <c r="AO28" i="18" s="1"/>
  <c r="AP28" i="18" s="1"/>
  <c r="AQ28" i="18" s="1"/>
  <c r="D12" i="18"/>
  <c r="D71" i="23"/>
  <c r="D37" i="3"/>
  <c r="E4" i="18"/>
  <c r="D67" i="18"/>
  <c r="D54" i="18"/>
  <c r="D41" i="18"/>
  <c r="E15" i="3"/>
  <c r="D13" i="24"/>
  <c r="E4" i="24"/>
  <c r="D31" i="6"/>
  <c r="D22" i="24"/>
  <c r="D31" i="24"/>
  <c r="E23" i="24"/>
  <c r="F23" i="24"/>
  <c r="G23" i="24"/>
  <c r="H23" i="24"/>
  <c r="I23" i="24"/>
  <c r="J23" i="24"/>
  <c r="K23" i="24"/>
  <c r="L23" i="24"/>
  <c r="M23" i="24"/>
  <c r="N23" i="24"/>
  <c r="O23" i="24"/>
  <c r="P23" i="24"/>
  <c r="Q23" i="24"/>
  <c r="R23" i="24"/>
  <c r="S23" i="24"/>
  <c r="T23" i="24"/>
  <c r="U23" i="24"/>
  <c r="V23" i="24"/>
  <c r="W23" i="24"/>
  <c r="X23" i="24"/>
  <c r="Y23" i="24"/>
  <c r="Z23" i="24"/>
  <c r="AA23" i="24"/>
  <c r="AB23" i="24"/>
  <c r="AC23" i="24"/>
  <c r="AD23" i="24"/>
  <c r="AE23" i="24"/>
  <c r="AF23" i="24"/>
  <c r="AG23" i="24"/>
  <c r="E24" i="24"/>
  <c r="F24" i="24"/>
  <c r="G24" i="24"/>
  <c r="H24" i="24"/>
  <c r="I24" i="24"/>
  <c r="J24" i="24"/>
  <c r="K24" i="24"/>
  <c r="L24" i="24"/>
  <c r="M24" i="24"/>
  <c r="N24" i="24"/>
  <c r="O24" i="24"/>
  <c r="P24" i="24"/>
  <c r="Q24" i="24"/>
  <c r="R24" i="24"/>
  <c r="S24" i="24"/>
  <c r="T24" i="24"/>
  <c r="U24" i="24"/>
  <c r="V24" i="24"/>
  <c r="W24" i="24"/>
  <c r="X24" i="24"/>
  <c r="Y24" i="24"/>
  <c r="Z24" i="24"/>
  <c r="AA24" i="24"/>
  <c r="AB24" i="24"/>
  <c r="AC24" i="24"/>
  <c r="AD24" i="24"/>
  <c r="AE24" i="24"/>
  <c r="AF24" i="24"/>
  <c r="AG24" i="24"/>
  <c r="E25" i="24"/>
  <c r="F25" i="24"/>
  <c r="G25" i="24"/>
  <c r="H25" i="24"/>
  <c r="I25" i="24"/>
  <c r="J25" i="24"/>
  <c r="K25" i="24"/>
  <c r="L25" i="24"/>
  <c r="M25" i="24"/>
  <c r="N25" i="24"/>
  <c r="O25" i="24"/>
  <c r="P25" i="24"/>
  <c r="Q25" i="24"/>
  <c r="R25" i="24"/>
  <c r="S25" i="24"/>
  <c r="T25" i="24"/>
  <c r="U25" i="24"/>
  <c r="V25" i="24"/>
  <c r="W25" i="24"/>
  <c r="X25" i="24"/>
  <c r="Y25" i="24"/>
  <c r="Z25" i="24"/>
  <c r="AA25" i="24"/>
  <c r="AB25" i="24"/>
  <c r="AC25" i="24"/>
  <c r="AD25" i="24"/>
  <c r="AE25" i="24"/>
  <c r="AF25" i="24"/>
  <c r="AG25" i="24"/>
  <c r="D24" i="24"/>
  <c r="D25" i="24"/>
  <c r="D23" i="24"/>
  <c r="D8" i="24"/>
  <c r="AG17" i="24"/>
  <c r="AF17" i="24"/>
  <c r="AE17" i="24"/>
  <c r="AD17" i="24"/>
  <c r="AC17" i="24"/>
  <c r="AB17" i="24"/>
  <c r="AA17" i="24"/>
  <c r="Z17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AG8" i="24"/>
  <c r="AF8" i="24"/>
  <c r="AE8" i="24"/>
  <c r="AD8" i="24"/>
  <c r="AC8" i="24"/>
  <c r="AB8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E8" i="23"/>
  <c r="D8" i="23"/>
  <c r="AG25" i="23"/>
  <c r="AF25" i="23"/>
  <c r="AE25" i="23"/>
  <c r="AD25" i="23"/>
  <c r="AC25" i="23"/>
  <c r="AB25" i="23"/>
  <c r="AA25" i="23"/>
  <c r="Z25" i="23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AG24" i="23"/>
  <c r="AF24" i="23"/>
  <c r="AE24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AG23" i="23"/>
  <c r="AF23" i="23"/>
  <c r="AE23" i="23"/>
  <c r="AD23" i="23"/>
  <c r="AC23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AG17" i="23"/>
  <c r="AF17" i="23"/>
  <c r="AE17" i="23"/>
  <c r="AD17" i="23"/>
  <c r="AC17" i="23"/>
  <c r="AB17" i="23"/>
  <c r="AA17" i="23"/>
  <c r="Z17" i="23"/>
  <c r="Y17" i="23"/>
  <c r="X17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D13" i="23"/>
  <c r="AG8" i="23"/>
  <c r="AF8" i="23"/>
  <c r="AE8" i="23"/>
  <c r="AD8" i="23"/>
  <c r="AC8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AG4" i="23"/>
  <c r="AF4" i="23"/>
  <c r="AE4" i="23"/>
  <c r="AD4" i="23"/>
  <c r="AC4" i="23"/>
  <c r="AB4" i="23"/>
  <c r="AA4" i="23"/>
  <c r="Z4" i="23"/>
  <c r="Y4" i="23"/>
  <c r="X4" i="23"/>
  <c r="W4" i="23"/>
  <c r="V4" i="23"/>
  <c r="U4" i="23"/>
  <c r="T4" i="23"/>
  <c r="S4" i="23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M51" i="34" l="1"/>
  <c r="M17" i="19" s="1"/>
  <c r="C8" i="24"/>
  <c r="N73" i="18"/>
  <c r="N49" i="34"/>
  <c r="C23" i="23"/>
  <c r="D32" i="24"/>
  <c r="C23" i="24"/>
  <c r="AI32" i="23"/>
  <c r="AI54" i="23"/>
  <c r="AI22" i="23"/>
  <c r="AI13" i="23"/>
  <c r="AI43" i="23"/>
  <c r="AI71" i="23"/>
  <c r="AH20" i="4"/>
  <c r="AH12" i="4"/>
  <c r="AK20" i="4"/>
  <c r="AK12" i="4"/>
  <c r="AJ26" i="3"/>
  <c r="AJ37" i="3"/>
  <c r="AJ47" i="6"/>
  <c r="AJ31" i="6"/>
  <c r="AJ17" i="6"/>
  <c r="N74" i="18"/>
  <c r="N50" i="34"/>
  <c r="C17" i="23"/>
  <c r="C8" i="23"/>
  <c r="C24" i="24"/>
  <c r="AH54" i="23"/>
  <c r="AH13" i="23"/>
  <c r="AH22" i="23"/>
  <c r="AH71" i="23"/>
  <c r="AH32" i="23"/>
  <c r="AH43" i="23"/>
  <c r="AH26" i="3"/>
  <c r="AH37" i="3"/>
  <c r="AH31" i="6"/>
  <c r="AH47" i="6"/>
  <c r="AH17" i="6"/>
  <c r="C25" i="24"/>
  <c r="AL26" i="3"/>
  <c r="AL37" i="3"/>
  <c r="C17" i="24"/>
  <c r="C25" i="23"/>
  <c r="N72" i="18"/>
  <c r="N48" i="34"/>
  <c r="AL13" i="23"/>
  <c r="AL43" i="23"/>
  <c r="AL71" i="23"/>
  <c r="AL32" i="23"/>
  <c r="AL22" i="23"/>
  <c r="AL54" i="23"/>
  <c r="AJ20" i="4"/>
  <c r="AJ12" i="4"/>
  <c r="AL12" i="4"/>
  <c r="AL20" i="4"/>
  <c r="AK71" i="23"/>
  <c r="AK43" i="23"/>
  <c r="AK54" i="23"/>
  <c r="AK13" i="23"/>
  <c r="AK32" i="23"/>
  <c r="AK22" i="23"/>
  <c r="AK47" i="6"/>
  <c r="AK31" i="6"/>
  <c r="AK17" i="6"/>
  <c r="C24" i="23"/>
  <c r="AJ22" i="23"/>
  <c r="AJ43" i="23"/>
  <c r="AJ54" i="23"/>
  <c r="AJ13" i="23"/>
  <c r="AJ71" i="23"/>
  <c r="AJ32" i="23"/>
  <c r="AI12" i="4"/>
  <c r="AI20" i="4"/>
  <c r="AK26" i="3"/>
  <c r="AK37" i="3"/>
  <c r="AI26" i="3"/>
  <c r="AI37" i="3"/>
  <c r="AL17" i="6"/>
  <c r="AL47" i="6"/>
  <c r="AL31" i="6"/>
  <c r="AI47" i="6"/>
  <c r="AI31" i="6"/>
  <c r="AI17" i="6"/>
  <c r="AO121" i="1"/>
  <c r="L23" i="19"/>
  <c r="N235" i="1"/>
  <c r="N41" i="36"/>
  <c r="N239" i="1"/>
  <c r="N45" i="36"/>
  <c r="N240" i="1"/>
  <c r="N46" i="36"/>
  <c r="N236" i="1"/>
  <c r="N42" i="36"/>
  <c r="N238" i="1"/>
  <c r="N44" i="36"/>
  <c r="M47" i="36"/>
  <c r="M23" i="19" s="1"/>
  <c r="N237" i="1"/>
  <c r="N43" i="36"/>
  <c r="N91" i="1"/>
  <c r="O47" i="34" s="1"/>
  <c r="N71" i="18"/>
  <c r="N88" i="1"/>
  <c r="O44" i="34" s="1"/>
  <c r="N68" i="18"/>
  <c r="N90" i="1"/>
  <c r="O46" i="34" s="1"/>
  <c r="N70" i="18"/>
  <c r="N89" i="1"/>
  <c r="O45" i="34" s="1"/>
  <c r="N69" i="18"/>
  <c r="N59" i="1"/>
  <c r="N31" i="10"/>
  <c r="M33" i="10"/>
  <c r="M9" i="19" s="1"/>
  <c r="N58" i="1"/>
  <c r="N30" i="10"/>
  <c r="N60" i="1"/>
  <c r="N32" i="10"/>
  <c r="M50" i="10"/>
  <c r="M10" i="19" s="1"/>
  <c r="N93" i="1"/>
  <c r="N48" i="10"/>
  <c r="N94" i="1"/>
  <c r="N49" i="10"/>
  <c r="N92" i="1"/>
  <c r="N47" i="10"/>
  <c r="I43" i="23"/>
  <c r="I54" i="23"/>
  <c r="I32" i="23"/>
  <c r="M43" i="23"/>
  <c r="M32" i="23"/>
  <c r="M54" i="23"/>
  <c r="U43" i="23"/>
  <c r="U54" i="23"/>
  <c r="U32" i="23"/>
  <c r="Y43" i="23"/>
  <c r="Y54" i="23"/>
  <c r="Y32" i="23"/>
  <c r="AC43" i="23"/>
  <c r="AC32" i="23"/>
  <c r="AC54" i="23"/>
  <c r="F54" i="23"/>
  <c r="F32" i="23"/>
  <c r="F43" i="23"/>
  <c r="J54" i="23"/>
  <c r="J32" i="23"/>
  <c r="J43" i="23"/>
  <c r="N54" i="23"/>
  <c r="N43" i="23"/>
  <c r="N32" i="23"/>
  <c r="R54" i="23"/>
  <c r="R43" i="23"/>
  <c r="R32" i="23"/>
  <c r="V54" i="23"/>
  <c r="V32" i="23"/>
  <c r="V43" i="23"/>
  <c r="Z54" i="23"/>
  <c r="Z32" i="23"/>
  <c r="Z43" i="23"/>
  <c r="AD54" i="23"/>
  <c r="AD43" i="23"/>
  <c r="AD32" i="23"/>
  <c r="G43" i="23"/>
  <c r="G54" i="23"/>
  <c r="G32" i="23"/>
  <c r="K54" i="23"/>
  <c r="K32" i="23"/>
  <c r="K43" i="23"/>
  <c r="O54" i="23"/>
  <c r="O32" i="23"/>
  <c r="O43" i="23"/>
  <c r="S43" i="23"/>
  <c r="S54" i="23"/>
  <c r="S32" i="23"/>
  <c r="W43" i="23"/>
  <c r="W32" i="23"/>
  <c r="W54" i="23"/>
  <c r="AA54" i="23"/>
  <c r="AA32" i="23"/>
  <c r="AA43" i="23"/>
  <c r="AE54" i="23"/>
  <c r="AE43" i="23"/>
  <c r="AE32" i="23"/>
  <c r="H32" i="23"/>
  <c r="H43" i="23"/>
  <c r="H54" i="23"/>
  <c r="L32" i="23"/>
  <c r="L43" i="23"/>
  <c r="L54" i="23"/>
  <c r="P32" i="23"/>
  <c r="P54" i="23"/>
  <c r="P43" i="23"/>
  <c r="T54" i="23"/>
  <c r="T32" i="23"/>
  <c r="T43" i="23"/>
  <c r="X32" i="23"/>
  <c r="X43" i="23"/>
  <c r="X54" i="23"/>
  <c r="AB43" i="23"/>
  <c r="AB32" i="23"/>
  <c r="AB54" i="23"/>
  <c r="AF32" i="23"/>
  <c r="AF54" i="23"/>
  <c r="AF43" i="23"/>
  <c r="E43" i="23"/>
  <c r="E32" i="23"/>
  <c r="E54" i="23"/>
  <c r="Q43" i="23"/>
  <c r="Q32" i="23"/>
  <c r="Q54" i="23"/>
  <c r="AG43" i="23"/>
  <c r="AG32" i="23"/>
  <c r="AG54" i="23"/>
  <c r="E27" i="23"/>
  <c r="E66" i="23" s="1"/>
  <c r="E72" i="23" s="1"/>
  <c r="I27" i="23"/>
  <c r="I66" i="23" s="1"/>
  <c r="I72" i="23" s="1"/>
  <c r="M27" i="23"/>
  <c r="Q27" i="23"/>
  <c r="Q66" i="23" s="1"/>
  <c r="Q72" i="23" s="1"/>
  <c r="U27" i="23"/>
  <c r="U66" i="23" s="1"/>
  <c r="U72" i="23" s="1"/>
  <c r="Y27" i="23"/>
  <c r="Y66" i="23" s="1"/>
  <c r="Y72" i="23" s="1"/>
  <c r="AC27" i="23"/>
  <c r="AC66" i="23" s="1"/>
  <c r="AC72" i="23" s="1"/>
  <c r="AG27" i="23"/>
  <c r="F27" i="23"/>
  <c r="F66" i="23" s="1"/>
  <c r="F72" i="23" s="1"/>
  <c r="J27" i="23"/>
  <c r="J66" i="23" s="1"/>
  <c r="J72" i="23" s="1"/>
  <c r="N27" i="23"/>
  <c r="N66" i="23" s="1"/>
  <c r="N72" i="23" s="1"/>
  <c r="R27" i="23"/>
  <c r="V27" i="23"/>
  <c r="V66" i="23" s="1"/>
  <c r="V72" i="23" s="1"/>
  <c r="Z27" i="23"/>
  <c r="Z66" i="23" s="1"/>
  <c r="Z72" i="23" s="1"/>
  <c r="AD27" i="23"/>
  <c r="AD66" i="23" s="1"/>
  <c r="AD72" i="23" s="1"/>
  <c r="G27" i="23"/>
  <c r="G66" i="23" s="1"/>
  <c r="G72" i="23" s="1"/>
  <c r="K27" i="23"/>
  <c r="K66" i="23" s="1"/>
  <c r="K72" i="23" s="1"/>
  <c r="O27" i="23"/>
  <c r="O66" i="23" s="1"/>
  <c r="O72" i="23" s="1"/>
  <c r="S27" i="23"/>
  <c r="S66" i="23" s="1"/>
  <c r="S72" i="23" s="1"/>
  <c r="W27" i="23"/>
  <c r="AA27" i="23"/>
  <c r="AA66" i="23" s="1"/>
  <c r="AA72" i="23" s="1"/>
  <c r="AE27" i="23"/>
  <c r="AE66" i="23" s="1"/>
  <c r="AE72" i="23" s="1"/>
  <c r="H27" i="23"/>
  <c r="L27" i="23"/>
  <c r="L66" i="23" s="1"/>
  <c r="L72" i="23" s="1"/>
  <c r="P27" i="23"/>
  <c r="P66" i="23" s="1"/>
  <c r="P72" i="23" s="1"/>
  <c r="T27" i="23"/>
  <c r="T66" i="23" s="1"/>
  <c r="T72" i="23" s="1"/>
  <c r="X27" i="23"/>
  <c r="X66" i="23" s="1"/>
  <c r="X72" i="23" s="1"/>
  <c r="AB27" i="23"/>
  <c r="AF27" i="23"/>
  <c r="AF66" i="23" s="1"/>
  <c r="AF72" i="23" s="1"/>
  <c r="D27" i="23"/>
  <c r="E12" i="18"/>
  <c r="F12" i="18" s="1"/>
  <c r="G12" i="18" s="1"/>
  <c r="H12" i="18" s="1"/>
  <c r="I12" i="18" s="1"/>
  <c r="J12" i="18" s="1"/>
  <c r="K12" i="18" s="1"/>
  <c r="L12" i="18" s="1"/>
  <c r="M12" i="18" s="1"/>
  <c r="N12" i="18" s="1"/>
  <c r="O12" i="18" s="1"/>
  <c r="P12" i="18" s="1"/>
  <c r="Q12" i="18" s="1"/>
  <c r="R12" i="18" s="1"/>
  <c r="S12" i="18" s="1"/>
  <c r="T12" i="18" s="1"/>
  <c r="U12" i="18" s="1"/>
  <c r="V12" i="18" s="1"/>
  <c r="W12" i="18" s="1"/>
  <c r="X12" i="18" s="1"/>
  <c r="Y12" i="18" s="1"/>
  <c r="Z12" i="18" s="1"/>
  <c r="AA12" i="18" s="1"/>
  <c r="AB12" i="18" s="1"/>
  <c r="AC12" i="18" s="1"/>
  <c r="AD12" i="18" s="1"/>
  <c r="AE12" i="18" s="1"/>
  <c r="AF12" i="18" s="1"/>
  <c r="AG12" i="18" s="1"/>
  <c r="AH12" i="18" s="1"/>
  <c r="AI12" i="18" s="1"/>
  <c r="AJ12" i="18" s="1"/>
  <c r="AK12" i="18" s="1"/>
  <c r="AL12" i="18" s="1"/>
  <c r="AM12" i="18" s="1"/>
  <c r="AN12" i="18" s="1"/>
  <c r="AO12" i="18" s="1"/>
  <c r="AP12" i="18" s="1"/>
  <c r="AQ12" i="18" s="1"/>
  <c r="D20" i="18"/>
  <c r="E20" i="18" s="1"/>
  <c r="F20" i="18" s="1"/>
  <c r="G20" i="18" s="1"/>
  <c r="H20" i="18" s="1"/>
  <c r="I20" i="18" s="1"/>
  <c r="J20" i="18" s="1"/>
  <c r="K20" i="18" s="1"/>
  <c r="L20" i="18" s="1"/>
  <c r="M20" i="18" s="1"/>
  <c r="N20" i="18" s="1"/>
  <c r="O20" i="18" s="1"/>
  <c r="P20" i="18" s="1"/>
  <c r="Q20" i="18" s="1"/>
  <c r="R20" i="18" s="1"/>
  <c r="S20" i="18" s="1"/>
  <c r="T20" i="18" s="1"/>
  <c r="U20" i="18" s="1"/>
  <c r="V20" i="18" s="1"/>
  <c r="W20" i="18" s="1"/>
  <c r="X20" i="18" s="1"/>
  <c r="Y20" i="18" s="1"/>
  <c r="Z20" i="18" s="1"/>
  <c r="AA20" i="18" s="1"/>
  <c r="AB20" i="18" s="1"/>
  <c r="AC20" i="18" s="1"/>
  <c r="AD20" i="18" s="1"/>
  <c r="AE20" i="18" s="1"/>
  <c r="AF20" i="18" s="1"/>
  <c r="AG20" i="18" s="1"/>
  <c r="AH20" i="18" s="1"/>
  <c r="AI20" i="18" s="1"/>
  <c r="AJ20" i="18" s="1"/>
  <c r="AK20" i="18" s="1"/>
  <c r="AL20" i="18" s="1"/>
  <c r="AM20" i="18" s="1"/>
  <c r="AN20" i="18" s="1"/>
  <c r="AO20" i="18" s="1"/>
  <c r="AP20" i="18" s="1"/>
  <c r="AQ20" i="18" s="1"/>
  <c r="H22" i="23"/>
  <c r="H71" i="23"/>
  <c r="H13" i="23"/>
  <c r="L13" i="23"/>
  <c r="L71" i="23"/>
  <c r="L22" i="23"/>
  <c r="P71" i="23"/>
  <c r="P22" i="23"/>
  <c r="P13" i="23"/>
  <c r="T13" i="23"/>
  <c r="T71" i="23"/>
  <c r="T22" i="23"/>
  <c r="X22" i="23"/>
  <c r="X71" i="23"/>
  <c r="X13" i="23"/>
  <c r="AB22" i="23"/>
  <c r="AB13" i="23"/>
  <c r="AB71" i="23"/>
  <c r="AF71" i="23"/>
  <c r="AF22" i="23"/>
  <c r="AF13" i="23"/>
  <c r="E71" i="23"/>
  <c r="E13" i="23"/>
  <c r="E22" i="23"/>
  <c r="I71" i="23"/>
  <c r="I13" i="23"/>
  <c r="I22" i="23"/>
  <c r="M71" i="23"/>
  <c r="M13" i="23"/>
  <c r="M22" i="23"/>
  <c r="Q71" i="23"/>
  <c r="Q13" i="23"/>
  <c r="Q22" i="23"/>
  <c r="U71" i="23"/>
  <c r="U13" i="23"/>
  <c r="U22" i="23"/>
  <c r="Y71" i="23"/>
  <c r="Y13" i="23"/>
  <c r="Y22" i="23"/>
  <c r="AC71" i="23"/>
  <c r="AC13" i="23"/>
  <c r="AC22" i="23"/>
  <c r="AG71" i="23"/>
  <c r="AG13" i="23"/>
  <c r="AG22" i="23"/>
  <c r="F71" i="23"/>
  <c r="F22" i="23"/>
  <c r="F13" i="23"/>
  <c r="J13" i="23"/>
  <c r="J71" i="23"/>
  <c r="J22" i="23"/>
  <c r="N22" i="23"/>
  <c r="N71" i="23"/>
  <c r="N13" i="23"/>
  <c r="R22" i="23"/>
  <c r="R13" i="23"/>
  <c r="R71" i="23"/>
  <c r="V71" i="23"/>
  <c r="V22" i="23"/>
  <c r="V13" i="23"/>
  <c r="Z13" i="23"/>
  <c r="Z71" i="23"/>
  <c r="Z22" i="23"/>
  <c r="AD71" i="23"/>
  <c r="AD22" i="23"/>
  <c r="AD13" i="23"/>
  <c r="E54" i="18"/>
  <c r="F4" i="18"/>
  <c r="E41" i="18"/>
  <c r="E67" i="18"/>
  <c r="G22" i="23"/>
  <c r="G13" i="23"/>
  <c r="G71" i="23"/>
  <c r="K22" i="23"/>
  <c r="K71" i="23"/>
  <c r="K13" i="23"/>
  <c r="O22" i="23"/>
  <c r="O13" i="23"/>
  <c r="O71" i="23"/>
  <c r="S22" i="23"/>
  <c r="S13" i="23"/>
  <c r="S71" i="23"/>
  <c r="W22" i="23"/>
  <c r="W71" i="23"/>
  <c r="W13" i="23"/>
  <c r="AA22" i="23"/>
  <c r="AA71" i="23"/>
  <c r="AA13" i="23"/>
  <c r="AE22" i="23"/>
  <c r="AE13" i="23"/>
  <c r="AE71" i="23"/>
  <c r="E22" i="24"/>
  <c r="F4" i="24"/>
  <c r="E31" i="24"/>
  <c r="E13" i="24"/>
  <c r="D26" i="24"/>
  <c r="AF26" i="24"/>
  <c r="M26" i="24"/>
  <c r="L26" i="24"/>
  <c r="P26" i="24"/>
  <c r="AB26" i="24"/>
  <c r="K26" i="24"/>
  <c r="S26" i="24"/>
  <c r="Y26" i="24"/>
  <c r="E26" i="24"/>
  <c r="T26" i="24"/>
  <c r="AA26" i="24"/>
  <c r="Q26" i="24"/>
  <c r="AG26" i="24"/>
  <c r="G26" i="24"/>
  <c r="W26" i="24"/>
  <c r="H26" i="24"/>
  <c r="O26" i="24"/>
  <c r="U26" i="24"/>
  <c r="AC26" i="24"/>
  <c r="I26" i="24"/>
  <c r="X26" i="24"/>
  <c r="AE26" i="24"/>
  <c r="F26" i="24"/>
  <c r="J26" i="24"/>
  <c r="N26" i="24"/>
  <c r="R26" i="24"/>
  <c r="V26" i="24"/>
  <c r="Z26" i="24"/>
  <c r="AD26" i="24"/>
  <c r="J26" i="23"/>
  <c r="R26" i="23"/>
  <c r="Z26" i="23"/>
  <c r="E26" i="23"/>
  <c r="I26" i="23"/>
  <c r="M26" i="23"/>
  <c r="Q26" i="23"/>
  <c r="U26" i="23"/>
  <c r="Y26" i="23"/>
  <c r="AC26" i="23"/>
  <c r="AG26" i="23"/>
  <c r="F26" i="23"/>
  <c r="V26" i="23"/>
  <c r="L26" i="23"/>
  <c r="T26" i="23"/>
  <c r="H26" i="23"/>
  <c r="P26" i="23"/>
  <c r="X26" i="23"/>
  <c r="AF26" i="23"/>
  <c r="AB26" i="23"/>
  <c r="D26" i="23"/>
  <c r="N26" i="23"/>
  <c r="AD26" i="23"/>
  <c r="G26" i="23"/>
  <c r="K26" i="23"/>
  <c r="O26" i="23"/>
  <c r="S26" i="23"/>
  <c r="W26" i="23"/>
  <c r="AA26" i="23"/>
  <c r="AE26" i="23"/>
  <c r="D75" i="18"/>
  <c r="N51" i="34" l="1"/>
  <c r="N17" i="19" s="1"/>
  <c r="C26" i="23"/>
  <c r="AP121" i="1"/>
  <c r="C26" i="24"/>
  <c r="O72" i="18"/>
  <c r="O48" i="34"/>
  <c r="O74" i="18"/>
  <c r="O50" i="34"/>
  <c r="D66" i="23"/>
  <c r="D72" i="23" s="1"/>
  <c r="C27" i="23"/>
  <c r="D16" i="19"/>
  <c r="O73" i="18"/>
  <c r="O49" i="34"/>
  <c r="O238" i="1"/>
  <c r="O44" i="36"/>
  <c r="O236" i="1"/>
  <c r="O42" i="36"/>
  <c r="O240" i="1"/>
  <c r="O46" i="36"/>
  <c r="O239" i="1"/>
  <c r="O45" i="36"/>
  <c r="N47" i="36"/>
  <c r="N23" i="19" s="1"/>
  <c r="O235" i="1"/>
  <c r="O41" i="36"/>
  <c r="O237" i="1"/>
  <c r="O43" i="36"/>
  <c r="O89" i="1"/>
  <c r="P45" i="34" s="1"/>
  <c r="O69" i="18"/>
  <c r="O90" i="1"/>
  <c r="P46" i="34" s="1"/>
  <c r="O70" i="18"/>
  <c r="O88" i="1"/>
  <c r="P44" i="34" s="1"/>
  <c r="O68" i="18"/>
  <c r="O91" i="1"/>
  <c r="P47" i="34" s="1"/>
  <c r="O71" i="18"/>
  <c r="O60" i="1"/>
  <c r="O32" i="10"/>
  <c r="N33" i="10"/>
  <c r="N9" i="19" s="1"/>
  <c r="O58" i="1"/>
  <c r="O30" i="10"/>
  <c r="O59" i="1"/>
  <c r="O31" i="10"/>
  <c r="N50" i="10"/>
  <c r="N10" i="19" s="1"/>
  <c r="O92" i="1"/>
  <c r="O47" i="10"/>
  <c r="O94" i="1"/>
  <c r="O49" i="10"/>
  <c r="O93" i="1"/>
  <c r="O48" i="10"/>
  <c r="AB66" i="23"/>
  <c r="AB72" i="23" s="1"/>
  <c r="W66" i="23"/>
  <c r="W72" i="23" s="1"/>
  <c r="R66" i="23"/>
  <c r="R72" i="23" s="1"/>
  <c r="AG66" i="23"/>
  <c r="AG72" i="23" s="1"/>
  <c r="H66" i="23"/>
  <c r="H72" i="23" s="1"/>
  <c r="M66" i="23"/>
  <c r="M72" i="23" s="1"/>
  <c r="F22" i="24"/>
  <c r="F13" i="24"/>
  <c r="G4" i="24"/>
  <c r="F31" i="24"/>
  <c r="F67" i="18"/>
  <c r="G4" i="18"/>
  <c r="F54" i="18"/>
  <c r="F41" i="18"/>
  <c r="M19" i="19" l="1"/>
  <c r="M18" i="19" s="1"/>
  <c r="H19" i="19"/>
  <c r="H18" i="19" s="1"/>
  <c r="AG19" i="19"/>
  <c r="AG18" i="19" s="1"/>
  <c r="R19" i="19"/>
  <c r="R18" i="19" s="1"/>
  <c r="W19" i="19"/>
  <c r="W18" i="19" s="1"/>
  <c r="AB19" i="19"/>
  <c r="AB18" i="19" s="1"/>
  <c r="O51" i="34"/>
  <c r="O17" i="19" s="1"/>
  <c r="P73" i="18"/>
  <c r="P49" i="34"/>
  <c r="C66" i="23"/>
  <c r="P72" i="18"/>
  <c r="P48" i="34"/>
  <c r="AQ121" i="1"/>
  <c r="AR121" i="1" s="1"/>
  <c r="AS121" i="1" s="1"/>
  <c r="AT121" i="1" s="1"/>
  <c r="AU121" i="1" s="1"/>
  <c r="AV121" i="1" s="1"/>
  <c r="AW121" i="1" s="1"/>
  <c r="AX121" i="1" s="1"/>
  <c r="AY121" i="1" s="1"/>
  <c r="AZ121" i="1" s="1"/>
  <c r="BA121" i="1" s="1"/>
  <c r="BB121" i="1" s="1"/>
  <c r="P74" i="18"/>
  <c r="P50" i="34"/>
  <c r="D15" i="19"/>
  <c r="P239" i="1"/>
  <c r="P45" i="36"/>
  <c r="P240" i="1"/>
  <c r="P46" i="36"/>
  <c r="P236" i="1"/>
  <c r="P42" i="36"/>
  <c r="P237" i="1"/>
  <c r="P43" i="36"/>
  <c r="P235" i="1"/>
  <c r="P41" i="36"/>
  <c r="O47" i="36"/>
  <c r="O23" i="19" s="1"/>
  <c r="P238" i="1"/>
  <c r="P44" i="36"/>
  <c r="P88" i="1"/>
  <c r="Q44" i="34" s="1"/>
  <c r="P68" i="18"/>
  <c r="P91" i="1"/>
  <c r="Q47" i="34" s="1"/>
  <c r="P71" i="18"/>
  <c r="P90" i="1"/>
  <c r="Q46" i="34" s="1"/>
  <c r="P70" i="18"/>
  <c r="P89" i="1"/>
  <c r="Q45" i="34" s="1"/>
  <c r="P69" i="18"/>
  <c r="P59" i="1"/>
  <c r="P31" i="10"/>
  <c r="O33" i="10"/>
  <c r="O9" i="19" s="1"/>
  <c r="P58" i="1"/>
  <c r="P30" i="10"/>
  <c r="P60" i="1"/>
  <c r="P32" i="10"/>
  <c r="P93" i="1"/>
  <c r="P48" i="10"/>
  <c r="P92" i="1"/>
  <c r="P47" i="10"/>
  <c r="P94" i="1"/>
  <c r="P49" i="10"/>
  <c r="O50" i="10"/>
  <c r="O10" i="19" s="1"/>
  <c r="H4" i="24"/>
  <c r="G31" i="24"/>
  <c r="G13" i="24"/>
  <c r="G22" i="24"/>
  <c r="H4" i="18"/>
  <c r="G67" i="18"/>
  <c r="G41" i="18"/>
  <c r="G54" i="18"/>
  <c r="D7" i="10"/>
  <c r="P51" i="34" l="1"/>
  <c r="P17" i="19" s="1"/>
  <c r="Q72" i="18"/>
  <c r="Q48" i="34"/>
  <c r="Q73" i="18"/>
  <c r="Q49" i="34"/>
  <c r="C20" i="19"/>
  <c r="C35" i="35"/>
  <c r="P47" i="36"/>
  <c r="P23" i="19" s="1"/>
  <c r="Q74" i="18"/>
  <c r="Q50" i="34"/>
  <c r="Q235" i="1"/>
  <c r="Q41" i="36"/>
  <c r="Q236" i="1"/>
  <c r="Q42" i="36"/>
  <c r="Q237" i="1"/>
  <c r="Q43" i="36"/>
  <c r="Q240" i="1"/>
  <c r="Q46" i="36"/>
  <c r="Q238" i="1"/>
  <c r="Q44" i="36"/>
  <c r="Q239" i="1"/>
  <c r="Q45" i="36"/>
  <c r="Q90" i="1"/>
  <c r="R46" i="34" s="1"/>
  <c r="Q70" i="18"/>
  <c r="Q89" i="1"/>
  <c r="R45" i="34" s="1"/>
  <c r="Q69" i="18"/>
  <c r="Q91" i="1"/>
  <c r="R47" i="34" s="1"/>
  <c r="Q71" i="18"/>
  <c r="Q88" i="1"/>
  <c r="R44" i="34" s="1"/>
  <c r="Q68" i="18"/>
  <c r="Q58" i="1"/>
  <c r="Q30" i="10"/>
  <c r="Q60" i="1"/>
  <c r="Q32" i="10"/>
  <c r="P33" i="10"/>
  <c r="P9" i="19" s="1"/>
  <c r="Q59" i="1"/>
  <c r="Q31" i="10"/>
  <c r="Q94" i="1"/>
  <c r="Q49" i="10"/>
  <c r="P50" i="10"/>
  <c r="P10" i="19" s="1"/>
  <c r="Q92" i="1"/>
  <c r="Q47" i="10"/>
  <c r="Q93" i="1"/>
  <c r="Q48" i="10"/>
  <c r="D8" i="10"/>
  <c r="D10" i="10"/>
  <c r="D9" i="10"/>
  <c r="I4" i="18"/>
  <c r="H54" i="18"/>
  <c r="H41" i="18"/>
  <c r="H67" i="18"/>
  <c r="I4" i="24"/>
  <c r="H13" i="24"/>
  <c r="H22" i="24"/>
  <c r="H31" i="24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D53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D37" i="6"/>
  <c r="C26" i="7"/>
  <c r="H32" i="2"/>
  <c r="H33" i="2" s="1"/>
  <c r="H5" i="19" s="1"/>
  <c r="H12" i="2"/>
  <c r="H5" i="6" s="1"/>
  <c r="H51" i="6" s="1"/>
  <c r="Q51" i="34" l="1"/>
  <c r="Q17" i="19" s="1"/>
  <c r="R73" i="18"/>
  <c r="R49" i="34"/>
  <c r="D13" i="10"/>
  <c r="R72" i="18"/>
  <c r="R48" i="34"/>
  <c r="R51" i="34" s="1"/>
  <c r="R17" i="19" s="1"/>
  <c r="D14" i="10"/>
  <c r="D15" i="10"/>
  <c r="R74" i="18"/>
  <c r="R50" i="34"/>
  <c r="R238" i="1"/>
  <c r="R44" i="36"/>
  <c r="R239" i="1"/>
  <c r="R45" i="36"/>
  <c r="R240" i="1"/>
  <c r="R46" i="36"/>
  <c r="R237" i="1"/>
  <c r="R43" i="36"/>
  <c r="R236" i="1"/>
  <c r="R42" i="36"/>
  <c r="Q47" i="36"/>
  <c r="Q23" i="19" s="1"/>
  <c r="R235" i="1"/>
  <c r="R41" i="36"/>
  <c r="R88" i="1"/>
  <c r="S44" i="34" s="1"/>
  <c r="R68" i="18"/>
  <c r="R91" i="1"/>
  <c r="S47" i="34" s="1"/>
  <c r="R71" i="18"/>
  <c r="R89" i="1"/>
  <c r="S45" i="34" s="1"/>
  <c r="R69" i="18"/>
  <c r="R90" i="1"/>
  <c r="S46" i="34" s="1"/>
  <c r="R70" i="18"/>
  <c r="R59" i="1"/>
  <c r="R31" i="10"/>
  <c r="R60" i="1"/>
  <c r="R32" i="10"/>
  <c r="Q33" i="10"/>
  <c r="Q9" i="19" s="1"/>
  <c r="R58" i="1"/>
  <c r="R30" i="10"/>
  <c r="R93" i="1"/>
  <c r="R48" i="10"/>
  <c r="Q50" i="10"/>
  <c r="Q10" i="19" s="1"/>
  <c r="R92" i="1"/>
  <c r="R47" i="10"/>
  <c r="R94" i="1"/>
  <c r="R49" i="10"/>
  <c r="H15" i="2"/>
  <c r="H17" i="2" s="1"/>
  <c r="J4" i="24"/>
  <c r="I22" i="24"/>
  <c r="I31" i="24"/>
  <c r="I13" i="24"/>
  <c r="J4" i="18"/>
  <c r="I54" i="18"/>
  <c r="I67" i="18"/>
  <c r="I41" i="18"/>
  <c r="S72" i="18" l="1"/>
  <c r="S48" i="34"/>
  <c r="S74" i="18"/>
  <c r="S50" i="34"/>
  <c r="S73" i="18"/>
  <c r="S49" i="34"/>
  <c r="S237" i="1"/>
  <c r="S43" i="36"/>
  <c r="S240" i="1"/>
  <c r="S46" i="36"/>
  <c r="S239" i="1"/>
  <c r="S45" i="36"/>
  <c r="R47" i="36"/>
  <c r="R23" i="19" s="1"/>
  <c r="S236" i="1"/>
  <c r="S42" i="36"/>
  <c r="S235" i="1"/>
  <c r="S41" i="36"/>
  <c r="S238" i="1"/>
  <c r="S44" i="36"/>
  <c r="S89" i="1"/>
  <c r="T45" i="34" s="1"/>
  <c r="S69" i="18"/>
  <c r="S91" i="1"/>
  <c r="T47" i="34" s="1"/>
  <c r="S71" i="18"/>
  <c r="S90" i="1"/>
  <c r="T46" i="34" s="1"/>
  <c r="S70" i="18"/>
  <c r="S88" i="1"/>
  <c r="T44" i="34" s="1"/>
  <c r="S68" i="18"/>
  <c r="R33" i="10"/>
  <c r="R9" i="19" s="1"/>
  <c r="S58" i="1"/>
  <c r="S30" i="10"/>
  <c r="S60" i="1"/>
  <c r="S32" i="10"/>
  <c r="S59" i="1"/>
  <c r="S31" i="10"/>
  <c r="R50" i="10"/>
  <c r="R10" i="19" s="1"/>
  <c r="S94" i="1"/>
  <c r="S49" i="10"/>
  <c r="S92" i="1"/>
  <c r="S47" i="10"/>
  <c r="S93" i="1"/>
  <c r="S48" i="10"/>
  <c r="H35" i="6"/>
  <c r="H20" i="2"/>
  <c r="H25" i="7"/>
  <c r="K4" i="18"/>
  <c r="J41" i="18"/>
  <c r="J67" i="18"/>
  <c r="J54" i="18"/>
  <c r="K4" i="24"/>
  <c r="J31" i="24"/>
  <c r="J22" i="24"/>
  <c r="J13" i="24"/>
  <c r="S51" i="34" l="1"/>
  <c r="S17" i="19" s="1"/>
  <c r="T74" i="18"/>
  <c r="T50" i="34"/>
  <c r="S47" i="36"/>
  <c r="S23" i="19" s="1"/>
  <c r="H32" i="6"/>
  <c r="H48" i="6"/>
  <c r="T73" i="18"/>
  <c r="T49" i="34"/>
  <c r="T72" i="18"/>
  <c r="T48" i="34"/>
  <c r="T238" i="1"/>
  <c r="T44" i="36"/>
  <c r="T235" i="1"/>
  <c r="T41" i="36"/>
  <c r="T239" i="1"/>
  <c r="T45" i="36"/>
  <c r="T240" i="1"/>
  <c r="T46" i="36"/>
  <c r="T236" i="1"/>
  <c r="T42" i="36"/>
  <c r="T237" i="1"/>
  <c r="T43" i="36"/>
  <c r="T90" i="1"/>
  <c r="U46" i="34" s="1"/>
  <c r="T70" i="18"/>
  <c r="T88" i="1"/>
  <c r="U44" i="34" s="1"/>
  <c r="T68" i="18"/>
  <c r="T91" i="1"/>
  <c r="U47" i="34" s="1"/>
  <c r="T71" i="18"/>
  <c r="T89" i="1"/>
  <c r="U45" i="34" s="1"/>
  <c r="T69" i="18"/>
  <c r="S33" i="10"/>
  <c r="S9" i="19" s="1"/>
  <c r="T59" i="1"/>
  <c r="T31" i="10"/>
  <c r="T60" i="1"/>
  <c r="T32" i="10"/>
  <c r="T58" i="1"/>
  <c r="T30" i="10"/>
  <c r="T92" i="1"/>
  <c r="T47" i="10"/>
  <c r="T93" i="1"/>
  <c r="T48" i="10"/>
  <c r="S50" i="10"/>
  <c r="S10" i="19" s="1"/>
  <c r="T94" i="1"/>
  <c r="T49" i="10"/>
  <c r="L4" i="24"/>
  <c r="K31" i="24"/>
  <c r="K13" i="24"/>
  <c r="K22" i="24"/>
  <c r="L4" i="18"/>
  <c r="K67" i="18"/>
  <c r="K41" i="18"/>
  <c r="K54" i="18"/>
  <c r="T51" i="34" l="1"/>
  <c r="T17" i="19" s="1"/>
  <c r="U72" i="18"/>
  <c r="U48" i="34"/>
  <c r="U73" i="18"/>
  <c r="U49" i="34"/>
  <c r="U74" i="18"/>
  <c r="U50" i="34"/>
  <c r="U237" i="1"/>
  <c r="U43" i="36"/>
  <c r="U240" i="1"/>
  <c r="U46" i="36"/>
  <c r="U239" i="1"/>
  <c r="U45" i="36"/>
  <c r="T47" i="36"/>
  <c r="T23" i="19" s="1"/>
  <c r="U235" i="1"/>
  <c r="U41" i="36"/>
  <c r="U236" i="1"/>
  <c r="U42" i="36"/>
  <c r="U238" i="1"/>
  <c r="U44" i="36"/>
  <c r="U91" i="1"/>
  <c r="V47" i="34" s="1"/>
  <c r="U71" i="18"/>
  <c r="U89" i="1"/>
  <c r="V45" i="34" s="1"/>
  <c r="U69" i="18"/>
  <c r="T33" i="10"/>
  <c r="T9" i="19" s="1"/>
  <c r="U88" i="1"/>
  <c r="V44" i="34" s="1"/>
  <c r="U68" i="18"/>
  <c r="U90" i="1"/>
  <c r="V46" i="34" s="1"/>
  <c r="U70" i="18"/>
  <c r="U58" i="1"/>
  <c r="U30" i="10"/>
  <c r="U59" i="1"/>
  <c r="U31" i="10"/>
  <c r="U60" i="1"/>
  <c r="U32" i="10"/>
  <c r="U94" i="1"/>
  <c r="U49" i="10"/>
  <c r="T50" i="10"/>
  <c r="T10" i="19" s="1"/>
  <c r="U93" i="1"/>
  <c r="U48" i="10"/>
  <c r="U92" i="1"/>
  <c r="U47" i="10"/>
  <c r="M4" i="18"/>
  <c r="L67" i="18"/>
  <c r="L54" i="18"/>
  <c r="L41" i="18"/>
  <c r="M4" i="24"/>
  <c r="L31" i="24"/>
  <c r="L22" i="24"/>
  <c r="L13" i="24"/>
  <c r="U51" i="34" l="1"/>
  <c r="U17" i="19" s="1"/>
  <c r="V73" i="18"/>
  <c r="V49" i="34"/>
  <c r="V74" i="18"/>
  <c r="V50" i="34"/>
  <c r="V72" i="18"/>
  <c r="V48" i="34"/>
  <c r="V238" i="1"/>
  <c r="V44" i="36"/>
  <c r="V235" i="1"/>
  <c r="V41" i="36"/>
  <c r="V236" i="1"/>
  <c r="V42" i="36"/>
  <c r="V239" i="1"/>
  <c r="V45" i="36"/>
  <c r="U47" i="36"/>
  <c r="U23" i="19" s="1"/>
  <c r="V240" i="1"/>
  <c r="V46" i="36"/>
  <c r="V237" i="1"/>
  <c r="V43" i="36"/>
  <c r="V88" i="1"/>
  <c r="W44" i="34" s="1"/>
  <c r="V68" i="18"/>
  <c r="V89" i="1"/>
  <c r="W45" i="34" s="1"/>
  <c r="V69" i="18"/>
  <c r="V90" i="1"/>
  <c r="W46" i="34" s="1"/>
  <c r="V70" i="18"/>
  <c r="V91" i="1"/>
  <c r="W47" i="34" s="1"/>
  <c r="V71" i="18"/>
  <c r="V60" i="1"/>
  <c r="V32" i="10"/>
  <c r="V59" i="1"/>
  <c r="V31" i="10"/>
  <c r="U33" i="10"/>
  <c r="U9" i="19" s="1"/>
  <c r="U50" i="10"/>
  <c r="U10" i="19" s="1"/>
  <c r="V58" i="1"/>
  <c r="V30" i="10"/>
  <c r="V92" i="1"/>
  <c r="V47" i="10"/>
  <c r="V93" i="1"/>
  <c r="V48" i="10"/>
  <c r="V94" i="1"/>
  <c r="V49" i="10"/>
  <c r="N4" i="24"/>
  <c r="M22" i="24"/>
  <c r="M13" i="24"/>
  <c r="M31" i="24"/>
  <c r="N4" i="18"/>
  <c r="M54" i="18"/>
  <c r="M41" i="18"/>
  <c r="M67" i="18"/>
  <c r="V51" i="34" l="1"/>
  <c r="V17" i="19" s="1"/>
  <c r="W73" i="18"/>
  <c r="W49" i="34"/>
  <c r="W72" i="18"/>
  <c r="W48" i="34"/>
  <c r="W74" i="18"/>
  <c r="W50" i="34"/>
  <c r="W237" i="1"/>
  <c r="W43" i="36"/>
  <c r="W239" i="1"/>
  <c r="W45" i="36"/>
  <c r="V47" i="36"/>
  <c r="V23" i="19" s="1"/>
  <c r="W240" i="1"/>
  <c r="W46" i="36"/>
  <c r="W235" i="1"/>
  <c r="W41" i="36"/>
  <c r="W236" i="1"/>
  <c r="W42" i="36"/>
  <c r="W238" i="1"/>
  <c r="W44" i="36"/>
  <c r="W91" i="1"/>
  <c r="X47" i="34" s="1"/>
  <c r="W71" i="18"/>
  <c r="W89" i="1"/>
  <c r="X45" i="34" s="1"/>
  <c r="W69" i="18"/>
  <c r="V33" i="10"/>
  <c r="V9" i="19" s="1"/>
  <c r="W90" i="1"/>
  <c r="X46" i="34" s="1"/>
  <c r="W70" i="18"/>
  <c r="W88" i="1"/>
  <c r="X44" i="34" s="1"/>
  <c r="W68" i="18"/>
  <c r="W58" i="1"/>
  <c r="W30" i="10"/>
  <c r="W59" i="1"/>
  <c r="W31" i="10"/>
  <c r="W60" i="1"/>
  <c r="W32" i="10"/>
  <c r="W94" i="1"/>
  <c r="W49" i="10"/>
  <c r="W93" i="1"/>
  <c r="W48" i="10"/>
  <c r="V50" i="10"/>
  <c r="V10" i="19" s="1"/>
  <c r="W92" i="1"/>
  <c r="W47" i="10"/>
  <c r="O4" i="18"/>
  <c r="N54" i="18"/>
  <c r="N41" i="18"/>
  <c r="N67" i="18"/>
  <c r="O4" i="24"/>
  <c r="N31" i="24"/>
  <c r="N13" i="24"/>
  <c r="N22" i="24"/>
  <c r="E32" i="2"/>
  <c r="E33" i="2" s="1"/>
  <c r="E5" i="19" s="1"/>
  <c r="F32" i="2"/>
  <c r="F33" i="2" s="1"/>
  <c r="F5" i="19" s="1"/>
  <c r="G32" i="2"/>
  <c r="G33" i="2" s="1"/>
  <c r="G5" i="19" s="1"/>
  <c r="I32" i="2"/>
  <c r="I33" i="2" s="1"/>
  <c r="I5" i="19" s="1"/>
  <c r="J32" i="2"/>
  <c r="J33" i="2" s="1"/>
  <c r="D32" i="2"/>
  <c r="W51" i="34" l="1"/>
  <c r="W17" i="19" s="1"/>
  <c r="X73" i="18"/>
  <c r="X49" i="34"/>
  <c r="X74" i="18"/>
  <c r="X50" i="34"/>
  <c r="X72" i="18"/>
  <c r="X48" i="34"/>
  <c r="W47" i="36"/>
  <c r="W23" i="19" s="1"/>
  <c r="X240" i="1"/>
  <c r="X46" i="36"/>
  <c r="X236" i="1"/>
  <c r="X42" i="36"/>
  <c r="X235" i="1"/>
  <c r="X41" i="36"/>
  <c r="X239" i="1"/>
  <c r="X45" i="36"/>
  <c r="X238" i="1"/>
  <c r="X44" i="36"/>
  <c r="X237" i="1"/>
  <c r="X43" i="36"/>
  <c r="C32" i="2"/>
  <c r="X90" i="1"/>
  <c r="Y46" i="34" s="1"/>
  <c r="X70" i="18"/>
  <c r="X88" i="1"/>
  <c r="Y44" i="34" s="1"/>
  <c r="X68" i="18"/>
  <c r="X89" i="1"/>
  <c r="Y45" i="34" s="1"/>
  <c r="X69" i="18"/>
  <c r="X91" i="1"/>
  <c r="Y47" i="34" s="1"/>
  <c r="X71" i="18"/>
  <c r="X60" i="1"/>
  <c r="X32" i="10"/>
  <c r="X59" i="1"/>
  <c r="X31" i="10"/>
  <c r="W33" i="10"/>
  <c r="W9" i="19" s="1"/>
  <c r="W50" i="10"/>
  <c r="W10" i="19" s="1"/>
  <c r="X58" i="1"/>
  <c r="X30" i="10"/>
  <c r="X92" i="1"/>
  <c r="X47" i="10"/>
  <c r="X93" i="1"/>
  <c r="X48" i="10"/>
  <c r="X94" i="1"/>
  <c r="X49" i="10"/>
  <c r="C26" i="2"/>
  <c r="D33" i="2"/>
  <c r="C33" i="2" s="1"/>
  <c r="P4" i="24"/>
  <c r="O31" i="24"/>
  <c r="O13" i="24"/>
  <c r="O22" i="24"/>
  <c r="P4" i="18"/>
  <c r="O67" i="18"/>
  <c r="O41" i="18"/>
  <c r="O54" i="18"/>
  <c r="C29" i="2"/>
  <c r="X51" i="34" l="1"/>
  <c r="X17" i="19" s="1"/>
  <c r="Y73" i="18"/>
  <c r="Y49" i="34"/>
  <c r="Y72" i="18"/>
  <c r="Y48" i="34"/>
  <c r="Y74" i="18"/>
  <c r="Y50" i="34"/>
  <c r="X47" i="36"/>
  <c r="X23" i="19" s="1"/>
  <c r="Y236" i="1"/>
  <c r="Y42" i="36"/>
  <c r="Y239" i="1"/>
  <c r="Y45" i="36"/>
  <c r="Y237" i="1"/>
  <c r="Y43" i="36"/>
  <c r="Y240" i="1"/>
  <c r="Y46" i="36"/>
  <c r="Y238" i="1"/>
  <c r="Y44" i="36"/>
  <c r="Y235" i="1"/>
  <c r="Y41" i="36"/>
  <c r="Y91" i="1"/>
  <c r="Z47" i="34" s="1"/>
  <c r="Y71" i="18"/>
  <c r="Y88" i="1"/>
  <c r="Z44" i="34" s="1"/>
  <c r="Y68" i="18"/>
  <c r="Y89" i="1"/>
  <c r="Z45" i="34" s="1"/>
  <c r="Y69" i="18"/>
  <c r="Y90" i="1"/>
  <c r="Z46" i="34" s="1"/>
  <c r="Y70" i="18"/>
  <c r="X33" i="10"/>
  <c r="X9" i="19" s="1"/>
  <c r="Y59" i="1"/>
  <c r="Y31" i="10"/>
  <c r="Y58" i="1"/>
  <c r="Y30" i="10"/>
  <c r="Y60" i="1"/>
  <c r="Y32" i="10"/>
  <c r="Y94" i="1"/>
  <c r="Y49" i="10"/>
  <c r="Y93" i="1"/>
  <c r="Y48" i="10"/>
  <c r="X50" i="10"/>
  <c r="X10" i="19" s="1"/>
  <c r="Y92" i="1"/>
  <c r="Y47" i="10"/>
  <c r="Q4" i="18"/>
  <c r="P41" i="18"/>
  <c r="P54" i="18"/>
  <c r="P67" i="18"/>
  <c r="Q4" i="24"/>
  <c r="P22" i="24"/>
  <c r="P13" i="24"/>
  <c r="P31" i="24"/>
  <c r="Y51" i="34" l="1"/>
  <c r="Y17" i="19" s="1"/>
  <c r="Z73" i="18"/>
  <c r="Z49" i="34"/>
  <c r="Z74" i="18"/>
  <c r="Z50" i="34"/>
  <c r="Z72" i="18"/>
  <c r="Z48" i="34"/>
  <c r="Y47" i="36"/>
  <c r="Y23" i="19" s="1"/>
  <c r="Z237" i="1"/>
  <c r="Z43" i="36"/>
  <c r="Z235" i="1"/>
  <c r="Z41" i="36"/>
  <c r="Z240" i="1"/>
  <c r="Z46" i="36"/>
  <c r="Z239" i="1"/>
  <c r="Z45" i="36"/>
  <c r="Z238" i="1"/>
  <c r="Z44" i="36"/>
  <c r="Z236" i="1"/>
  <c r="Z42" i="36"/>
  <c r="Z89" i="1"/>
  <c r="AA45" i="34" s="1"/>
  <c r="Z69" i="18"/>
  <c r="Z88" i="1"/>
  <c r="AA44" i="34" s="1"/>
  <c r="Z68" i="18"/>
  <c r="Z90" i="1"/>
  <c r="AA46" i="34" s="1"/>
  <c r="Z70" i="18"/>
  <c r="Z91" i="1"/>
  <c r="AA47" i="34" s="1"/>
  <c r="Z71" i="18"/>
  <c r="Z60" i="1"/>
  <c r="Z32" i="10"/>
  <c r="Z58" i="1"/>
  <c r="Z30" i="10"/>
  <c r="Y33" i="10"/>
  <c r="Y9" i="19" s="1"/>
  <c r="Y50" i="10"/>
  <c r="Y10" i="19" s="1"/>
  <c r="Z59" i="1"/>
  <c r="Z31" i="10"/>
  <c r="Z92" i="1"/>
  <c r="Z47" i="10"/>
  <c r="Z93" i="1"/>
  <c r="Z48" i="10"/>
  <c r="Z94" i="1"/>
  <c r="Z49" i="10"/>
  <c r="R4" i="24"/>
  <c r="Q22" i="24"/>
  <c r="Q31" i="24"/>
  <c r="Q13" i="24"/>
  <c r="R4" i="18"/>
  <c r="Q54" i="18"/>
  <c r="Q67" i="18"/>
  <c r="Q41" i="18"/>
  <c r="E34" i="24"/>
  <c r="D34" i="24"/>
  <c r="E32" i="24"/>
  <c r="E33" i="24"/>
  <c r="D33" i="24"/>
  <c r="AC19" i="19"/>
  <c r="AC18" i="19" s="1"/>
  <c r="X19" i="19"/>
  <c r="X18" i="19" s="1"/>
  <c r="S19" i="19"/>
  <c r="S18" i="19" s="1"/>
  <c r="N19" i="19"/>
  <c r="N18" i="19" s="1"/>
  <c r="I19" i="19"/>
  <c r="I18" i="19" s="1"/>
  <c r="Z51" i="34" l="1"/>
  <c r="Z17" i="19" s="1"/>
  <c r="AA72" i="18"/>
  <c r="AA48" i="34"/>
  <c r="AA73" i="18"/>
  <c r="AA49" i="34"/>
  <c r="D19" i="19"/>
  <c r="D18" i="19" s="1"/>
  <c r="AA74" i="18"/>
  <c r="AA50" i="34"/>
  <c r="AA238" i="1"/>
  <c r="AA44" i="36"/>
  <c r="AA239" i="1"/>
  <c r="AA45" i="36"/>
  <c r="AA240" i="1"/>
  <c r="AA46" i="36"/>
  <c r="AA236" i="1"/>
  <c r="AA42" i="36"/>
  <c r="Z47" i="36"/>
  <c r="Z23" i="19" s="1"/>
  <c r="AA235" i="1"/>
  <c r="AA41" i="36"/>
  <c r="AA237" i="1"/>
  <c r="AA43" i="36"/>
  <c r="AA91" i="1"/>
  <c r="AB47" i="34" s="1"/>
  <c r="AA71" i="18"/>
  <c r="AA90" i="1"/>
  <c r="AB46" i="34" s="1"/>
  <c r="AA70" i="18"/>
  <c r="AA88" i="1"/>
  <c r="AB44" i="34" s="1"/>
  <c r="AA68" i="18"/>
  <c r="AA89" i="1"/>
  <c r="AB45" i="34" s="1"/>
  <c r="AA69" i="18"/>
  <c r="AA58" i="1"/>
  <c r="AA30" i="10"/>
  <c r="AA59" i="1"/>
  <c r="AA31" i="10"/>
  <c r="Z33" i="10"/>
  <c r="Z9" i="19" s="1"/>
  <c r="AA60" i="1"/>
  <c r="AA32" i="10"/>
  <c r="AA93" i="1"/>
  <c r="AA48" i="10"/>
  <c r="Z50" i="10"/>
  <c r="Z10" i="19" s="1"/>
  <c r="AA94" i="1"/>
  <c r="AA49" i="10"/>
  <c r="AA92" i="1"/>
  <c r="AA47" i="10"/>
  <c r="S4" i="18"/>
  <c r="R67" i="18"/>
  <c r="R54" i="18"/>
  <c r="R41" i="18"/>
  <c r="S4" i="24"/>
  <c r="R13" i="24"/>
  <c r="R31" i="24"/>
  <c r="R22" i="24"/>
  <c r="F32" i="24"/>
  <c r="J19" i="19"/>
  <c r="J18" i="19" s="1"/>
  <c r="AD19" i="19"/>
  <c r="AD18" i="19" s="1"/>
  <c r="D35" i="24"/>
  <c r="O19" i="19"/>
  <c r="O18" i="19" s="1"/>
  <c r="T19" i="19"/>
  <c r="T18" i="19" s="1"/>
  <c r="Y19" i="19"/>
  <c r="Y18" i="19" s="1"/>
  <c r="F33" i="24"/>
  <c r="F34" i="24"/>
  <c r="E19" i="19"/>
  <c r="E18" i="19" s="1"/>
  <c r="AA51" i="34" l="1"/>
  <c r="AA17" i="19" s="1"/>
  <c r="AB72" i="18"/>
  <c r="AB48" i="34"/>
  <c r="AB74" i="18"/>
  <c r="AB50" i="34"/>
  <c r="D22" i="19"/>
  <c r="D21" i="19" s="1"/>
  <c r="AB73" i="18"/>
  <c r="AB49" i="34"/>
  <c r="AB236" i="1"/>
  <c r="AB42" i="36"/>
  <c r="AB240" i="1"/>
  <c r="AB46" i="36"/>
  <c r="AB235" i="1"/>
  <c r="AB41" i="36"/>
  <c r="AB239" i="1"/>
  <c r="AB45" i="36"/>
  <c r="AB237" i="1"/>
  <c r="AB43" i="36"/>
  <c r="AA47" i="36"/>
  <c r="AA23" i="19" s="1"/>
  <c r="AB238" i="1"/>
  <c r="AB44" i="36"/>
  <c r="AB88" i="1"/>
  <c r="AC44" i="34" s="1"/>
  <c r="AB68" i="18"/>
  <c r="AB90" i="1"/>
  <c r="AC46" i="34" s="1"/>
  <c r="AB70" i="18"/>
  <c r="AB89" i="1"/>
  <c r="AC45" i="34" s="1"/>
  <c r="AB69" i="18"/>
  <c r="AB91" i="1"/>
  <c r="AC47" i="34" s="1"/>
  <c r="AB71" i="18"/>
  <c r="AB60" i="1"/>
  <c r="AB32" i="10"/>
  <c r="AA33" i="10"/>
  <c r="AA9" i="19" s="1"/>
  <c r="AB59" i="1"/>
  <c r="AB31" i="10"/>
  <c r="AB58" i="1"/>
  <c r="AB30" i="10"/>
  <c r="AA50" i="10"/>
  <c r="AA10" i="19" s="1"/>
  <c r="AB92" i="1"/>
  <c r="AB47" i="10"/>
  <c r="AB94" i="1"/>
  <c r="AB49" i="10"/>
  <c r="AB93" i="1"/>
  <c r="AB48" i="10"/>
  <c r="T4" i="24"/>
  <c r="S31" i="24"/>
  <c r="S13" i="24"/>
  <c r="S22" i="24"/>
  <c r="T4" i="18"/>
  <c r="S67" i="18"/>
  <c r="S41" i="18"/>
  <c r="S54" i="18"/>
  <c r="G33" i="24"/>
  <c r="Z19" i="19"/>
  <c r="Z18" i="19" s="1"/>
  <c r="AE19" i="19"/>
  <c r="AE18" i="19" s="1"/>
  <c r="E35" i="24"/>
  <c r="E22" i="19" s="1"/>
  <c r="E21" i="19" s="1"/>
  <c r="G34" i="24"/>
  <c r="U19" i="19"/>
  <c r="U18" i="19" s="1"/>
  <c r="E75" i="18"/>
  <c r="G32" i="24"/>
  <c r="K19" i="19"/>
  <c r="K18" i="19" s="1"/>
  <c r="P19" i="19"/>
  <c r="P18" i="19" s="1"/>
  <c r="AB51" i="34" l="1"/>
  <c r="AB17" i="19" s="1"/>
  <c r="AC74" i="18"/>
  <c r="AC50" i="34"/>
  <c r="AC72" i="18"/>
  <c r="AC48" i="34"/>
  <c r="F19" i="19"/>
  <c r="E16" i="19"/>
  <c r="AC73" i="18"/>
  <c r="AC49" i="34"/>
  <c r="AC237" i="1"/>
  <c r="AC43" i="36"/>
  <c r="AC239" i="1"/>
  <c r="AC45" i="36"/>
  <c r="AB47" i="36"/>
  <c r="AB23" i="19" s="1"/>
  <c r="AC235" i="1"/>
  <c r="AC41" i="36"/>
  <c r="AC240" i="1"/>
  <c r="AC46" i="36"/>
  <c r="AC238" i="1"/>
  <c r="AC44" i="36"/>
  <c r="AC236" i="1"/>
  <c r="AC42" i="36"/>
  <c r="E15" i="19"/>
  <c r="AC91" i="1"/>
  <c r="AD47" i="34" s="1"/>
  <c r="AC71" i="18"/>
  <c r="AC89" i="1"/>
  <c r="AD45" i="34" s="1"/>
  <c r="AC69" i="18"/>
  <c r="AC90" i="1"/>
  <c r="AD46" i="34" s="1"/>
  <c r="AC70" i="18"/>
  <c r="AC88" i="1"/>
  <c r="AD44" i="34" s="1"/>
  <c r="AC68" i="18"/>
  <c r="AB33" i="10"/>
  <c r="AB9" i="19" s="1"/>
  <c r="AC58" i="1"/>
  <c r="AC30" i="10"/>
  <c r="AC59" i="1"/>
  <c r="AC31" i="10"/>
  <c r="AC60" i="1"/>
  <c r="AC32" i="10"/>
  <c r="AC93" i="1"/>
  <c r="AC48" i="10"/>
  <c r="AC94" i="1"/>
  <c r="AC49" i="10"/>
  <c r="AB50" i="10"/>
  <c r="AB10" i="19" s="1"/>
  <c r="AC92" i="1"/>
  <c r="AC47" i="10"/>
  <c r="U4" i="18"/>
  <c r="T41" i="18"/>
  <c r="T67" i="18"/>
  <c r="T54" i="18"/>
  <c r="U4" i="24"/>
  <c r="T31" i="24"/>
  <c r="T22" i="24"/>
  <c r="T13" i="24"/>
  <c r="F75" i="18"/>
  <c r="F16" i="19" s="1"/>
  <c r="F15" i="19" s="1"/>
  <c r="H32" i="24"/>
  <c r="H34" i="24"/>
  <c r="F35" i="24"/>
  <c r="F22" i="19" s="1"/>
  <c r="F21" i="19" s="1"/>
  <c r="H33" i="24"/>
  <c r="G19" i="19"/>
  <c r="G18" i="19" s="1"/>
  <c r="AC51" i="34" l="1"/>
  <c r="AC17" i="19" s="1"/>
  <c r="AD73" i="18"/>
  <c r="AD49" i="34"/>
  <c r="AD72" i="18"/>
  <c r="AD48" i="34"/>
  <c r="F18" i="19"/>
  <c r="AD74" i="18"/>
  <c r="AD50" i="34"/>
  <c r="AD240" i="1"/>
  <c r="AD46" i="36"/>
  <c r="AD238" i="1"/>
  <c r="AD44" i="36"/>
  <c r="AD235" i="1"/>
  <c r="AD41" i="36"/>
  <c r="AC47" i="36"/>
  <c r="AC23" i="19" s="1"/>
  <c r="AD236" i="1"/>
  <c r="AD42" i="36"/>
  <c r="AD239" i="1"/>
  <c r="AD45" i="36"/>
  <c r="AD237" i="1"/>
  <c r="AD43" i="36"/>
  <c r="AD88" i="1"/>
  <c r="AE44" i="34" s="1"/>
  <c r="AD68" i="18"/>
  <c r="AD90" i="1"/>
  <c r="AE46" i="34" s="1"/>
  <c r="AD70" i="18"/>
  <c r="AD89" i="1"/>
  <c r="AE45" i="34" s="1"/>
  <c r="AD69" i="18"/>
  <c r="AD91" i="1"/>
  <c r="AE47" i="34" s="1"/>
  <c r="AD71" i="18"/>
  <c r="AD60" i="1"/>
  <c r="AD32" i="10"/>
  <c r="AC33" i="10"/>
  <c r="AC9" i="19" s="1"/>
  <c r="AD59" i="1"/>
  <c r="AD31" i="10"/>
  <c r="AC50" i="10"/>
  <c r="AC10" i="19" s="1"/>
  <c r="AD58" i="1"/>
  <c r="AD30" i="10"/>
  <c r="AD92" i="1"/>
  <c r="AD47" i="10"/>
  <c r="AD94" i="1"/>
  <c r="AD49" i="10"/>
  <c r="AD93" i="1"/>
  <c r="AD48" i="10"/>
  <c r="V19" i="19"/>
  <c r="V18" i="19" s="1"/>
  <c r="AA19" i="19"/>
  <c r="AA18" i="19" s="1"/>
  <c r="AF19" i="19"/>
  <c r="AF18" i="19" s="1"/>
  <c r="Q19" i="19"/>
  <c r="Q18" i="19" s="1"/>
  <c r="L19" i="19"/>
  <c r="L18" i="19" s="1"/>
  <c r="V4" i="24"/>
  <c r="U22" i="24"/>
  <c r="U13" i="24"/>
  <c r="U31" i="24"/>
  <c r="V4" i="18"/>
  <c r="U54" i="18"/>
  <c r="U41" i="18"/>
  <c r="U67" i="18"/>
  <c r="G35" i="24"/>
  <c r="G22" i="19" s="1"/>
  <c r="I33" i="24"/>
  <c r="G75" i="18"/>
  <c r="G16" i="19" s="1"/>
  <c r="I32" i="24"/>
  <c r="I34" i="24"/>
  <c r="D15" i="3"/>
  <c r="E4" i="4"/>
  <c r="F15" i="3"/>
  <c r="AG49" i="18"/>
  <c r="AF49" i="18"/>
  <c r="AE49" i="18"/>
  <c r="AD49" i="18"/>
  <c r="AC49" i="18"/>
  <c r="AB49" i="18"/>
  <c r="AA49" i="18"/>
  <c r="Z49" i="18"/>
  <c r="Y49" i="18"/>
  <c r="X49" i="18"/>
  <c r="W49" i="18"/>
  <c r="V49" i="18"/>
  <c r="U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G4" i="19"/>
  <c r="H4" i="19"/>
  <c r="I4" i="19"/>
  <c r="J4" i="19"/>
  <c r="K4" i="19"/>
  <c r="L4" i="19"/>
  <c r="M4" i="19"/>
  <c r="N4" i="19"/>
  <c r="O4" i="19"/>
  <c r="P4" i="19"/>
  <c r="Q4" i="19"/>
  <c r="R4" i="19"/>
  <c r="S4" i="19"/>
  <c r="T4" i="19"/>
  <c r="U4" i="19"/>
  <c r="V4" i="19"/>
  <c r="W4" i="19"/>
  <c r="X4" i="19"/>
  <c r="Y4" i="19"/>
  <c r="Z4" i="19"/>
  <c r="AA4" i="19"/>
  <c r="AB4" i="19"/>
  <c r="AC4" i="19"/>
  <c r="AD4" i="19"/>
  <c r="AE4" i="19"/>
  <c r="AF4" i="19"/>
  <c r="AG62" i="18"/>
  <c r="AC62" i="18"/>
  <c r="Y62" i="18"/>
  <c r="U62" i="18"/>
  <c r="Q62" i="18"/>
  <c r="M62" i="18"/>
  <c r="I62" i="18"/>
  <c r="E62" i="18"/>
  <c r="D16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T4" i="10"/>
  <c r="U4" i="10"/>
  <c r="V4" i="10"/>
  <c r="W4" i="10"/>
  <c r="X4" i="10"/>
  <c r="Y4" i="10"/>
  <c r="Z4" i="10"/>
  <c r="AA4" i="10"/>
  <c r="AB4" i="10"/>
  <c r="AC4" i="10"/>
  <c r="AD4" i="10"/>
  <c r="AE4" i="10"/>
  <c r="AF4" i="10"/>
  <c r="AG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AG15" i="4"/>
  <c r="AG49" i="6" s="1"/>
  <c r="AG50" i="6" s="1"/>
  <c r="AF15" i="4"/>
  <c r="AF49" i="6" s="1"/>
  <c r="AF50" i="6" s="1"/>
  <c r="AE15" i="4"/>
  <c r="AE49" i="6" s="1"/>
  <c r="AE50" i="6" s="1"/>
  <c r="AD15" i="4"/>
  <c r="AD49" i="6" s="1"/>
  <c r="AD50" i="6" s="1"/>
  <c r="AC15" i="4"/>
  <c r="AC49" i="6" s="1"/>
  <c r="AC50" i="6" s="1"/>
  <c r="AB15" i="4"/>
  <c r="AB49" i="6" s="1"/>
  <c r="AB50" i="6" s="1"/>
  <c r="AA15" i="4"/>
  <c r="AA49" i="6" s="1"/>
  <c r="AA50" i="6" s="1"/>
  <c r="Z15" i="4"/>
  <c r="Z49" i="6" s="1"/>
  <c r="Z50" i="6" s="1"/>
  <c r="Y15" i="4"/>
  <c r="Y49" i="6" s="1"/>
  <c r="Y50" i="6" s="1"/>
  <c r="X15" i="4"/>
  <c r="X49" i="6" s="1"/>
  <c r="X50" i="6" s="1"/>
  <c r="W15" i="4"/>
  <c r="W49" i="6" s="1"/>
  <c r="W50" i="6" s="1"/>
  <c r="V15" i="4"/>
  <c r="V49" i="6" s="1"/>
  <c r="V50" i="6" s="1"/>
  <c r="U15" i="4"/>
  <c r="U49" i="6" s="1"/>
  <c r="U50" i="6" s="1"/>
  <c r="T15" i="4"/>
  <c r="T49" i="6" s="1"/>
  <c r="T50" i="6" s="1"/>
  <c r="S15" i="4"/>
  <c r="S49" i="6" s="1"/>
  <c r="S50" i="6" s="1"/>
  <c r="R15" i="4"/>
  <c r="R49" i="6" s="1"/>
  <c r="R50" i="6" s="1"/>
  <c r="Q15" i="4"/>
  <c r="Q49" i="6" s="1"/>
  <c r="Q50" i="6" s="1"/>
  <c r="P15" i="4"/>
  <c r="P49" i="6" s="1"/>
  <c r="P50" i="6" s="1"/>
  <c r="O15" i="4"/>
  <c r="O49" i="6" s="1"/>
  <c r="O50" i="6" s="1"/>
  <c r="N15" i="4"/>
  <c r="N49" i="6" s="1"/>
  <c r="N50" i="6" s="1"/>
  <c r="M15" i="4"/>
  <c r="M49" i="6" s="1"/>
  <c r="M50" i="6" s="1"/>
  <c r="L15" i="4"/>
  <c r="L49" i="6" s="1"/>
  <c r="L50" i="6" s="1"/>
  <c r="K15" i="4"/>
  <c r="K49" i="6" s="1"/>
  <c r="K50" i="6" s="1"/>
  <c r="J15" i="4"/>
  <c r="J49" i="6" s="1"/>
  <c r="J50" i="6" s="1"/>
  <c r="I15" i="4"/>
  <c r="I49" i="6" s="1"/>
  <c r="H15" i="4"/>
  <c r="H49" i="6" s="1"/>
  <c r="G15" i="4"/>
  <c r="G49" i="6" s="1"/>
  <c r="F15" i="4"/>
  <c r="F49" i="6" s="1"/>
  <c r="E15" i="4"/>
  <c r="E49" i="6" s="1"/>
  <c r="D15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D5" i="19"/>
  <c r="C5" i="19" s="1"/>
  <c r="C28" i="2"/>
  <c r="C27" i="2"/>
  <c r="J12" i="2"/>
  <c r="I12" i="2"/>
  <c r="G12" i="2"/>
  <c r="G5" i="6" s="1"/>
  <c r="G51" i="6" s="1"/>
  <c r="F12" i="2"/>
  <c r="F5" i="6" s="1"/>
  <c r="E12" i="2"/>
  <c r="E5" i="6" s="1"/>
  <c r="E51" i="6" s="1"/>
  <c r="D12" i="2"/>
  <c r="C13" i="2"/>
  <c r="C11" i="2"/>
  <c r="C8" i="2"/>
  <c r="C7" i="2"/>
  <c r="C6" i="2"/>
  <c r="AG30" i="3"/>
  <c r="AF30" i="3"/>
  <c r="AF41" i="3" s="1"/>
  <c r="AE30" i="3"/>
  <c r="AE41" i="3" s="1"/>
  <c r="AD30" i="3"/>
  <c r="AD41" i="3" s="1"/>
  <c r="AD42" i="3" s="1"/>
  <c r="AC30" i="3"/>
  <c r="AB30" i="3"/>
  <c r="AB41" i="3" s="1"/>
  <c r="AA30" i="3"/>
  <c r="AA41" i="3" s="1"/>
  <c r="Z30" i="3"/>
  <c r="Z41" i="3" s="1"/>
  <c r="Z42" i="3" s="1"/>
  <c r="Y30" i="3"/>
  <c r="Y41" i="3" s="1"/>
  <c r="X30" i="3"/>
  <c r="X41" i="3" s="1"/>
  <c r="W30" i="3"/>
  <c r="W41" i="3" s="1"/>
  <c r="V30" i="3"/>
  <c r="V41" i="3" s="1"/>
  <c r="V42" i="3" s="1"/>
  <c r="U30" i="3"/>
  <c r="U41" i="3" s="1"/>
  <c r="T30" i="3"/>
  <c r="T41" i="3" s="1"/>
  <c r="S30" i="3"/>
  <c r="S41" i="3" s="1"/>
  <c r="R30" i="3"/>
  <c r="R41" i="3" s="1"/>
  <c r="R42" i="3" s="1"/>
  <c r="Q30" i="3"/>
  <c r="P30" i="3"/>
  <c r="P41" i="3" s="1"/>
  <c r="O30" i="3"/>
  <c r="O41" i="3" s="1"/>
  <c r="N30" i="3"/>
  <c r="N41" i="3" s="1"/>
  <c r="N42" i="3" s="1"/>
  <c r="M30" i="3"/>
  <c r="L30" i="3"/>
  <c r="L41" i="3" s="1"/>
  <c r="K30" i="3"/>
  <c r="K41" i="3" s="1"/>
  <c r="J30" i="3"/>
  <c r="J41" i="3" s="1"/>
  <c r="J42" i="3" s="1"/>
  <c r="I30" i="3"/>
  <c r="I41" i="3" s="1"/>
  <c r="H30" i="3"/>
  <c r="H41" i="3" s="1"/>
  <c r="G30" i="3"/>
  <c r="G41" i="3" s="1"/>
  <c r="F30" i="3"/>
  <c r="F41" i="3" s="1"/>
  <c r="F42" i="3" s="1"/>
  <c r="E30" i="3"/>
  <c r="E41" i="3" s="1"/>
  <c r="D30" i="3"/>
  <c r="AG28" i="3"/>
  <c r="AG39" i="3" s="1"/>
  <c r="AF28" i="3"/>
  <c r="AF39" i="3" s="1"/>
  <c r="AE28" i="3"/>
  <c r="AE39" i="3" s="1"/>
  <c r="AD28" i="3"/>
  <c r="AD39" i="3" s="1"/>
  <c r="AC28" i="3"/>
  <c r="AC39" i="3" s="1"/>
  <c r="AB28" i="3"/>
  <c r="AB39" i="3" s="1"/>
  <c r="AA28" i="3"/>
  <c r="AA39" i="3" s="1"/>
  <c r="Z28" i="3"/>
  <c r="Z39" i="3" s="1"/>
  <c r="Y28" i="3"/>
  <c r="Y39" i="3" s="1"/>
  <c r="X28" i="3"/>
  <c r="W28" i="3"/>
  <c r="W39" i="3" s="1"/>
  <c r="V28" i="3"/>
  <c r="V39" i="3" s="1"/>
  <c r="U28" i="3"/>
  <c r="U39" i="3" s="1"/>
  <c r="T28" i="3"/>
  <c r="T39" i="3" s="1"/>
  <c r="S28" i="3"/>
  <c r="S39" i="3" s="1"/>
  <c r="R28" i="3"/>
  <c r="R39" i="3" s="1"/>
  <c r="Q28" i="3"/>
  <c r="Q39" i="3" s="1"/>
  <c r="P28" i="3"/>
  <c r="P39" i="3" s="1"/>
  <c r="O28" i="3"/>
  <c r="O39" i="3" s="1"/>
  <c r="N28" i="3"/>
  <c r="N39" i="3" s="1"/>
  <c r="M28" i="3"/>
  <c r="M39" i="3" s="1"/>
  <c r="L28" i="3"/>
  <c r="L39" i="3" s="1"/>
  <c r="K28" i="3"/>
  <c r="K39" i="3" s="1"/>
  <c r="J28" i="3"/>
  <c r="J39" i="3" s="1"/>
  <c r="I28" i="3"/>
  <c r="I39" i="3" s="1"/>
  <c r="H28" i="3"/>
  <c r="H39" i="3" s="1"/>
  <c r="G28" i="3"/>
  <c r="G39" i="3" s="1"/>
  <c r="F28" i="3"/>
  <c r="F39" i="3" s="1"/>
  <c r="E28" i="3"/>
  <c r="E39" i="3" s="1"/>
  <c r="D28" i="3"/>
  <c r="AG27" i="3"/>
  <c r="AG38" i="3" s="1"/>
  <c r="AF27" i="3"/>
  <c r="AE27" i="3"/>
  <c r="AE38" i="3" s="1"/>
  <c r="AD27" i="3"/>
  <c r="AD38" i="3" s="1"/>
  <c r="AC27" i="3"/>
  <c r="AC38" i="3" s="1"/>
  <c r="AB27" i="3"/>
  <c r="AA27" i="3"/>
  <c r="AA38" i="3" s="1"/>
  <c r="Z27" i="3"/>
  <c r="Z38" i="3" s="1"/>
  <c r="Y27" i="3"/>
  <c r="X27" i="3"/>
  <c r="W27" i="3"/>
  <c r="W38" i="3" s="1"/>
  <c r="V27" i="3"/>
  <c r="V38" i="3" s="1"/>
  <c r="U27" i="3"/>
  <c r="T27" i="3"/>
  <c r="S27" i="3"/>
  <c r="S38" i="3" s="1"/>
  <c r="R27" i="3"/>
  <c r="R38" i="3" s="1"/>
  <c r="Q27" i="3"/>
  <c r="P27" i="3"/>
  <c r="O27" i="3"/>
  <c r="O38" i="3" s="1"/>
  <c r="N27" i="3"/>
  <c r="N38" i="3" s="1"/>
  <c r="M27" i="3"/>
  <c r="M38" i="3" s="1"/>
  <c r="L27" i="3"/>
  <c r="K27" i="3"/>
  <c r="K38" i="3" s="1"/>
  <c r="J27" i="3"/>
  <c r="J38" i="3" s="1"/>
  <c r="I27" i="3"/>
  <c r="H27" i="3"/>
  <c r="G27" i="3"/>
  <c r="G38" i="3" s="1"/>
  <c r="F27" i="3"/>
  <c r="F38" i="3" s="1"/>
  <c r="E27" i="3"/>
  <c r="D27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G4" i="4"/>
  <c r="H4" i="4"/>
  <c r="I4" i="4"/>
  <c r="I20" i="4" s="1"/>
  <c r="J4" i="4"/>
  <c r="K4" i="4"/>
  <c r="L4" i="4"/>
  <c r="M4" i="4"/>
  <c r="N4" i="4"/>
  <c r="O4" i="4"/>
  <c r="P4" i="4"/>
  <c r="Q4" i="4"/>
  <c r="Q20" i="4" s="1"/>
  <c r="R4" i="4"/>
  <c r="S4" i="4"/>
  <c r="S20" i="4" s="1"/>
  <c r="T4" i="4"/>
  <c r="U4" i="4"/>
  <c r="V4" i="4"/>
  <c r="W4" i="4"/>
  <c r="X4" i="4"/>
  <c r="Y4" i="4"/>
  <c r="Y20" i="4" s="1"/>
  <c r="Z4" i="4"/>
  <c r="AA4" i="4"/>
  <c r="AB4" i="4"/>
  <c r="AC4" i="4"/>
  <c r="AD4" i="4"/>
  <c r="AE4" i="4"/>
  <c r="AF4" i="4"/>
  <c r="AG4" i="4"/>
  <c r="AG20" i="4" s="1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E4" i="3"/>
  <c r="AF4" i="3"/>
  <c r="AG4" i="3"/>
  <c r="Z4" i="3"/>
  <c r="AA4" i="3"/>
  <c r="AB4" i="3"/>
  <c r="AC4" i="3"/>
  <c r="AD4" i="3"/>
  <c r="R4" i="3"/>
  <c r="S4" i="3"/>
  <c r="T4" i="3"/>
  <c r="U4" i="3"/>
  <c r="V4" i="3"/>
  <c r="W4" i="3"/>
  <c r="X4" i="3"/>
  <c r="Y4" i="3"/>
  <c r="H4" i="3"/>
  <c r="I4" i="3"/>
  <c r="J4" i="3"/>
  <c r="K4" i="3"/>
  <c r="L4" i="3"/>
  <c r="M4" i="3"/>
  <c r="N4" i="3"/>
  <c r="O4" i="3"/>
  <c r="P4" i="3"/>
  <c r="Q4" i="3"/>
  <c r="E4" i="19"/>
  <c r="G4" i="3"/>
  <c r="F4" i="2"/>
  <c r="F25" i="2" s="1"/>
  <c r="G24" i="7"/>
  <c r="F4" i="4"/>
  <c r="F4" i="3"/>
  <c r="F4" i="19"/>
  <c r="E4" i="3"/>
  <c r="G15" i="3"/>
  <c r="G4" i="2"/>
  <c r="G25" i="2" s="1"/>
  <c r="D25" i="2"/>
  <c r="E25" i="2"/>
  <c r="H24" i="7"/>
  <c r="E4" i="6"/>
  <c r="G4" i="6"/>
  <c r="K4" i="6"/>
  <c r="O4" i="6"/>
  <c r="S4" i="6"/>
  <c r="W4" i="6"/>
  <c r="AA4" i="6"/>
  <c r="AE4" i="6"/>
  <c r="AE17" i="6" s="1"/>
  <c r="H4" i="6"/>
  <c r="L4" i="6"/>
  <c r="P4" i="6"/>
  <c r="T4" i="6"/>
  <c r="X4" i="6"/>
  <c r="AB4" i="6"/>
  <c r="AF4" i="6"/>
  <c r="I4" i="6"/>
  <c r="M4" i="6"/>
  <c r="Q4" i="6"/>
  <c r="U4" i="6"/>
  <c r="Y4" i="6"/>
  <c r="AC4" i="6"/>
  <c r="AG4" i="6"/>
  <c r="J4" i="6"/>
  <c r="N4" i="6"/>
  <c r="R4" i="6"/>
  <c r="V4" i="6"/>
  <c r="Z4" i="6"/>
  <c r="AD4" i="6"/>
  <c r="F4" i="6"/>
  <c r="D17" i="6"/>
  <c r="F24" i="7"/>
  <c r="E24" i="7"/>
  <c r="F4" i="10"/>
  <c r="E4" i="10"/>
  <c r="D12" i="4"/>
  <c r="C7" i="10" l="1"/>
  <c r="AD51" i="34"/>
  <c r="AD17" i="19" s="1"/>
  <c r="C27" i="3"/>
  <c r="C7" i="3"/>
  <c r="C18" i="3"/>
  <c r="X39" i="3"/>
  <c r="C28" i="3"/>
  <c r="C7" i="4"/>
  <c r="C21" i="4"/>
  <c r="C15" i="4"/>
  <c r="C20" i="3"/>
  <c r="C9" i="3"/>
  <c r="D38" i="3"/>
  <c r="AE73" i="18"/>
  <c r="AE49" i="34"/>
  <c r="D8" i="19"/>
  <c r="C18" i="19"/>
  <c r="F35" i="6"/>
  <c r="F51" i="6"/>
  <c r="C51" i="6" s="1"/>
  <c r="AE74" i="18"/>
  <c r="AE50" i="34"/>
  <c r="C72" i="23"/>
  <c r="D41" i="3"/>
  <c r="C49" i="18"/>
  <c r="AE72" i="18"/>
  <c r="AE48" i="34"/>
  <c r="D49" i="6"/>
  <c r="C49" i="6" s="1"/>
  <c r="C19" i="19"/>
  <c r="L6" i="9"/>
  <c r="L7" i="9"/>
  <c r="L5" i="9"/>
  <c r="D19" i="9"/>
  <c r="AE239" i="1"/>
  <c r="AE45" i="36"/>
  <c r="AE236" i="1"/>
  <c r="AE42" i="36"/>
  <c r="G15" i="19"/>
  <c r="AD47" i="36"/>
  <c r="AD23" i="19" s="1"/>
  <c r="AE235" i="1"/>
  <c r="AE41" i="36"/>
  <c r="G21" i="19"/>
  <c r="AE237" i="1"/>
  <c r="AE43" i="36"/>
  <c r="AE238" i="1"/>
  <c r="AE44" i="36"/>
  <c r="AE240" i="1"/>
  <c r="AE46" i="36"/>
  <c r="AE91" i="1"/>
  <c r="AF47" i="34" s="1"/>
  <c r="AE71" i="18"/>
  <c r="AE89" i="1"/>
  <c r="AF45" i="34" s="1"/>
  <c r="AE69" i="18"/>
  <c r="AE90" i="1"/>
  <c r="AF46" i="34" s="1"/>
  <c r="AE70" i="18"/>
  <c r="AE88" i="1"/>
  <c r="AF44" i="34" s="1"/>
  <c r="AE68" i="18"/>
  <c r="AD33" i="10"/>
  <c r="AD9" i="19" s="1"/>
  <c r="AE58" i="1"/>
  <c r="AE30" i="10"/>
  <c r="AE59" i="1"/>
  <c r="AE31" i="10"/>
  <c r="AE60" i="1"/>
  <c r="AE32" i="10"/>
  <c r="G23" i="4"/>
  <c r="S23" i="4"/>
  <c r="AE23" i="4"/>
  <c r="AE93" i="1"/>
  <c r="AE48" i="10"/>
  <c r="AE94" i="1"/>
  <c r="AE49" i="10"/>
  <c r="AD50" i="10"/>
  <c r="AD10" i="19" s="1"/>
  <c r="AE92" i="1"/>
  <c r="AE47" i="10"/>
  <c r="I5" i="6"/>
  <c r="H23" i="4"/>
  <c r="T23" i="4"/>
  <c r="AF23" i="4"/>
  <c r="E23" i="4"/>
  <c r="Q23" i="4"/>
  <c r="AC23" i="4"/>
  <c r="P23" i="4"/>
  <c r="AB23" i="4"/>
  <c r="I23" i="4"/>
  <c r="U23" i="4"/>
  <c r="AG23" i="4"/>
  <c r="X9" i="10"/>
  <c r="X10" i="10"/>
  <c r="X8" i="10"/>
  <c r="M9" i="10"/>
  <c r="M10" i="10"/>
  <c r="M8" i="10"/>
  <c r="Y9" i="10"/>
  <c r="Y10" i="10"/>
  <c r="Y8" i="10"/>
  <c r="N9" i="10"/>
  <c r="N8" i="10"/>
  <c r="N10" i="10"/>
  <c r="Z9" i="10"/>
  <c r="Z10" i="10"/>
  <c r="Z8" i="10"/>
  <c r="O9" i="10"/>
  <c r="O10" i="10"/>
  <c r="O8" i="10"/>
  <c r="AA8" i="10"/>
  <c r="AA9" i="10"/>
  <c r="AA10" i="10"/>
  <c r="P9" i="10"/>
  <c r="P10" i="10"/>
  <c r="P8" i="10"/>
  <c r="AB10" i="10"/>
  <c r="AB9" i="10"/>
  <c r="AB8" i="10"/>
  <c r="E8" i="10"/>
  <c r="E9" i="10"/>
  <c r="E10" i="10"/>
  <c r="Q8" i="10"/>
  <c r="Q9" i="10"/>
  <c r="Q10" i="10"/>
  <c r="AC8" i="10"/>
  <c r="AC10" i="10"/>
  <c r="AC9" i="10"/>
  <c r="F9" i="10"/>
  <c r="F8" i="10"/>
  <c r="F13" i="10" s="1"/>
  <c r="F10" i="10"/>
  <c r="R8" i="10"/>
  <c r="R9" i="10"/>
  <c r="R10" i="10"/>
  <c r="AD10" i="10"/>
  <c r="AD8" i="10"/>
  <c r="AD9" i="10"/>
  <c r="K23" i="4"/>
  <c r="L5" i="7" s="1"/>
  <c r="W23" i="4"/>
  <c r="X5" i="7" s="1"/>
  <c r="G10" i="10"/>
  <c r="G8" i="10"/>
  <c r="G9" i="10"/>
  <c r="S10" i="10"/>
  <c r="S8" i="10"/>
  <c r="S9" i="10"/>
  <c r="AE10" i="10"/>
  <c r="AE8" i="10"/>
  <c r="AE9" i="10"/>
  <c r="L23" i="4"/>
  <c r="M5" i="7" s="1"/>
  <c r="X23" i="4"/>
  <c r="Y5" i="7" s="1"/>
  <c r="H10" i="10"/>
  <c r="H9" i="10"/>
  <c r="H8" i="10"/>
  <c r="T10" i="10"/>
  <c r="T8" i="10"/>
  <c r="T9" i="10"/>
  <c r="AF9" i="10"/>
  <c r="AF10" i="10"/>
  <c r="AF8" i="10"/>
  <c r="L9" i="10"/>
  <c r="L8" i="10"/>
  <c r="L10" i="10"/>
  <c r="M23" i="4"/>
  <c r="N5" i="7" s="1"/>
  <c r="Y23" i="4"/>
  <c r="Z5" i="7" s="1"/>
  <c r="I9" i="10"/>
  <c r="I10" i="10"/>
  <c r="I8" i="10"/>
  <c r="U10" i="10"/>
  <c r="U8" i="10"/>
  <c r="U9" i="10"/>
  <c r="AG10" i="10"/>
  <c r="AG8" i="10"/>
  <c r="AG9" i="10"/>
  <c r="J10" i="10"/>
  <c r="J8" i="10"/>
  <c r="J9" i="10"/>
  <c r="V9" i="10"/>
  <c r="V10" i="10"/>
  <c r="V8" i="10"/>
  <c r="O23" i="4"/>
  <c r="P5" i="7" s="1"/>
  <c r="AA23" i="4"/>
  <c r="AB5" i="7" s="1"/>
  <c r="K9" i="10"/>
  <c r="K10" i="10"/>
  <c r="K8" i="10"/>
  <c r="W10" i="10"/>
  <c r="W8" i="10"/>
  <c r="W9" i="10"/>
  <c r="M40" i="3"/>
  <c r="F40" i="3"/>
  <c r="F43" i="3" s="1"/>
  <c r="F6" i="19" s="1"/>
  <c r="N21" i="3"/>
  <c r="N52" i="6" s="1"/>
  <c r="N54" i="6" s="1"/>
  <c r="N55" i="6" s="1"/>
  <c r="V21" i="3"/>
  <c r="V52" i="6" s="1"/>
  <c r="V54" i="6" s="1"/>
  <c r="V55" i="6" s="1"/>
  <c r="E21" i="3"/>
  <c r="E52" i="6" s="1"/>
  <c r="AC40" i="3"/>
  <c r="AG40" i="3"/>
  <c r="D10" i="3"/>
  <c r="J40" i="3"/>
  <c r="J43" i="3" s="1"/>
  <c r="J6" i="19" s="1"/>
  <c r="N40" i="3"/>
  <c r="N43" i="3" s="1"/>
  <c r="N6" i="19" s="1"/>
  <c r="R40" i="3"/>
  <c r="R43" i="3" s="1"/>
  <c r="R6" i="19" s="1"/>
  <c r="V40" i="3"/>
  <c r="V43" i="3" s="1"/>
  <c r="V6" i="19" s="1"/>
  <c r="Z40" i="3"/>
  <c r="Z43" i="3" s="1"/>
  <c r="Z6" i="19" s="1"/>
  <c r="AD40" i="3"/>
  <c r="AD43" i="3" s="1"/>
  <c r="AD6" i="19" s="1"/>
  <c r="Q21" i="3"/>
  <c r="Q52" i="6" s="1"/>
  <c r="Q54" i="6" s="1"/>
  <c r="Q55" i="6" s="1"/>
  <c r="E10" i="3"/>
  <c r="O40" i="3"/>
  <c r="W40" i="3"/>
  <c r="AE40" i="3"/>
  <c r="H29" i="3"/>
  <c r="H38" i="3"/>
  <c r="H40" i="3" s="1"/>
  <c r="L29" i="3"/>
  <c r="L38" i="3"/>
  <c r="L40" i="3" s="1"/>
  <c r="P29" i="3"/>
  <c r="P38" i="3"/>
  <c r="P40" i="3" s="1"/>
  <c r="T29" i="3"/>
  <c r="T38" i="3"/>
  <c r="T40" i="3" s="1"/>
  <c r="X29" i="3"/>
  <c r="X38" i="3"/>
  <c r="AB29" i="3"/>
  <c r="AB38" i="3"/>
  <c r="AB40" i="3" s="1"/>
  <c r="AF29" i="3"/>
  <c r="AF38" i="3"/>
  <c r="AF40" i="3" s="1"/>
  <c r="D39" i="3"/>
  <c r="H31" i="3"/>
  <c r="H42" i="3"/>
  <c r="L31" i="3"/>
  <c r="L42" i="3"/>
  <c r="P31" i="3"/>
  <c r="P42" i="3"/>
  <c r="T31" i="3"/>
  <c r="T42" i="3"/>
  <c r="X31" i="3"/>
  <c r="X42" i="3"/>
  <c r="AB31" i="3"/>
  <c r="AB42" i="3"/>
  <c r="AF31" i="3"/>
  <c r="AF42" i="3"/>
  <c r="E29" i="3"/>
  <c r="E38" i="3"/>
  <c r="E40" i="3" s="1"/>
  <c r="I29" i="3"/>
  <c r="I38" i="3"/>
  <c r="I40" i="3" s="1"/>
  <c r="Q29" i="3"/>
  <c r="Q38" i="3"/>
  <c r="Q40" i="3" s="1"/>
  <c r="U29" i="3"/>
  <c r="U38" i="3"/>
  <c r="U40" i="3" s="1"/>
  <c r="Y29" i="3"/>
  <c r="Y38" i="3"/>
  <c r="Y40" i="3" s="1"/>
  <c r="K29" i="3"/>
  <c r="S29" i="3"/>
  <c r="S40" i="3"/>
  <c r="AA29" i="3"/>
  <c r="AA40" i="3"/>
  <c r="E31" i="3"/>
  <c r="E42" i="3"/>
  <c r="I31" i="3"/>
  <c r="I42" i="3"/>
  <c r="U31" i="3"/>
  <c r="U42" i="3"/>
  <c r="Y31" i="3"/>
  <c r="Y42" i="3"/>
  <c r="H21" i="3"/>
  <c r="H52" i="6" s="1"/>
  <c r="H54" i="6" s="1"/>
  <c r="X21" i="3"/>
  <c r="X52" i="6" s="1"/>
  <c r="X54" i="6" s="1"/>
  <c r="X55" i="6" s="1"/>
  <c r="F21" i="3"/>
  <c r="F52" i="6" s="1"/>
  <c r="H10" i="3"/>
  <c r="L10" i="3"/>
  <c r="P10" i="3"/>
  <c r="T10" i="3"/>
  <c r="X10" i="3"/>
  <c r="AB10" i="3"/>
  <c r="AF10" i="3"/>
  <c r="M29" i="3"/>
  <c r="I21" i="3"/>
  <c r="I52" i="6" s="1"/>
  <c r="U21" i="3"/>
  <c r="U52" i="6" s="1"/>
  <c r="U54" i="6" s="1"/>
  <c r="U55" i="6" s="1"/>
  <c r="Y21" i="3"/>
  <c r="Y52" i="6" s="1"/>
  <c r="Y54" i="6" s="1"/>
  <c r="Y55" i="6" s="1"/>
  <c r="G10" i="3"/>
  <c r="K10" i="3"/>
  <c r="O10" i="3"/>
  <c r="S10" i="3"/>
  <c r="W10" i="3"/>
  <c r="AA10" i="3"/>
  <c r="AE10" i="3"/>
  <c r="G40" i="3"/>
  <c r="AC29" i="3"/>
  <c r="G31" i="3"/>
  <c r="G42" i="3"/>
  <c r="K31" i="3"/>
  <c r="K42" i="3"/>
  <c r="O31" i="3"/>
  <c r="O42" i="3"/>
  <c r="S31" i="3"/>
  <c r="S42" i="3"/>
  <c r="W31" i="3"/>
  <c r="W42" i="3"/>
  <c r="AA31" i="3"/>
  <c r="AA42" i="3"/>
  <c r="AE31" i="3"/>
  <c r="AE42" i="3"/>
  <c r="M31" i="3"/>
  <c r="M41" i="3"/>
  <c r="M42" i="3" s="1"/>
  <c r="Q31" i="3"/>
  <c r="Q41" i="3"/>
  <c r="Q42" i="3" s="1"/>
  <c r="AC31" i="3"/>
  <c r="AC41" i="3"/>
  <c r="AC42" i="3" s="1"/>
  <c r="AG31" i="3"/>
  <c r="AG41" i="3"/>
  <c r="AG42" i="3" s="1"/>
  <c r="I15" i="2"/>
  <c r="I17" i="2" s="1"/>
  <c r="J15" i="2"/>
  <c r="J17" i="2" s="1"/>
  <c r="J20" i="2" s="1"/>
  <c r="I12" i="4"/>
  <c r="S12" i="4"/>
  <c r="AG12" i="4"/>
  <c r="Y12" i="4"/>
  <c r="V17" i="6"/>
  <c r="V47" i="6"/>
  <c r="V31" i="6"/>
  <c r="AG17" i="6"/>
  <c r="AG47" i="6"/>
  <c r="AG31" i="6"/>
  <c r="Q17" i="6"/>
  <c r="Q47" i="6"/>
  <c r="Q31" i="6"/>
  <c r="AB17" i="6"/>
  <c r="AB47" i="6"/>
  <c r="AB31" i="6"/>
  <c r="L17" i="6"/>
  <c r="L47" i="6"/>
  <c r="L31" i="6"/>
  <c r="AA17" i="6"/>
  <c r="AA31" i="6"/>
  <c r="AA47" i="6"/>
  <c r="K17" i="6"/>
  <c r="K31" i="6"/>
  <c r="K47" i="6"/>
  <c r="N26" i="3"/>
  <c r="N37" i="3"/>
  <c r="J26" i="3"/>
  <c r="J37" i="3"/>
  <c r="X37" i="3"/>
  <c r="X26" i="3"/>
  <c r="T26" i="3"/>
  <c r="T37" i="3"/>
  <c r="AC37" i="3"/>
  <c r="AC26" i="3"/>
  <c r="AG37" i="3"/>
  <c r="AG26" i="3"/>
  <c r="AE12" i="4"/>
  <c r="AE20" i="4"/>
  <c r="AA12" i="4"/>
  <c r="AA20" i="4"/>
  <c r="X12" i="4"/>
  <c r="X20" i="4"/>
  <c r="T12" i="4"/>
  <c r="T20" i="4"/>
  <c r="M12" i="4"/>
  <c r="M20" i="4"/>
  <c r="F17" i="6"/>
  <c r="F47" i="6"/>
  <c r="F31" i="6"/>
  <c r="R17" i="6"/>
  <c r="R31" i="6"/>
  <c r="R47" i="6"/>
  <c r="AC17" i="6"/>
  <c r="AC31" i="6"/>
  <c r="AC47" i="6"/>
  <c r="M17" i="6"/>
  <c r="M31" i="6"/>
  <c r="M47" i="6"/>
  <c r="X17" i="6"/>
  <c r="X47" i="6"/>
  <c r="X31" i="6"/>
  <c r="H17" i="6"/>
  <c r="H47" i="6"/>
  <c r="H31" i="6"/>
  <c r="W17" i="6"/>
  <c r="W31" i="6"/>
  <c r="W47" i="6"/>
  <c r="G17" i="6"/>
  <c r="G31" i="6"/>
  <c r="G47" i="6"/>
  <c r="E26" i="3"/>
  <c r="E37" i="3"/>
  <c r="G37" i="3"/>
  <c r="G26" i="3"/>
  <c r="Q37" i="3"/>
  <c r="Q26" i="3"/>
  <c r="M37" i="3"/>
  <c r="M26" i="3"/>
  <c r="I26" i="3"/>
  <c r="I37" i="3"/>
  <c r="W37" i="3"/>
  <c r="W26" i="3"/>
  <c r="S37" i="3"/>
  <c r="S26" i="3"/>
  <c r="AB37" i="3"/>
  <c r="AB26" i="3"/>
  <c r="AF26" i="3"/>
  <c r="AF37" i="3"/>
  <c r="AD12" i="4"/>
  <c r="AD20" i="4"/>
  <c r="Z12" i="4"/>
  <c r="Z20" i="4"/>
  <c r="W12" i="4"/>
  <c r="W20" i="4"/>
  <c r="P12" i="4"/>
  <c r="P20" i="4"/>
  <c r="L12" i="4"/>
  <c r="L20" i="4"/>
  <c r="AD17" i="6"/>
  <c r="AD31" i="6"/>
  <c r="AD47" i="6"/>
  <c r="N17" i="6"/>
  <c r="N31" i="6"/>
  <c r="N47" i="6"/>
  <c r="Y17" i="6"/>
  <c r="Y31" i="6"/>
  <c r="Y47" i="6"/>
  <c r="I17" i="6"/>
  <c r="I31" i="6"/>
  <c r="I47" i="6"/>
  <c r="T17" i="6"/>
  <c r="T47" i="6"/>
  <c r="T31" i="6"/>
  <c r="S17" i="6"/>
  <c r="S31" i="6"/>
  <c r="S47" i="6"/>
  <c r="E17" i="6"/>
  <c r="E47" i="6"/>
  <c r="E31" i="6"/>
  <c r="F12" i="4"/>
  <c r="F20" i="4"/>
  <c r="P26" i="3"/>
  <c r="P37" i="3"/>
  <c r="L37" i="3"/>
  <c r="L26" i="3"/>
  <c r="H37" i="3"/>
  <c r="H26" i="3"/>
  <c r="V26" i="3"/>
  <c r="V37" i="3"/>
  <c r="R26" i="3"/>
  <c r="R37" i="3"/>
  <c r="AA37" i="3"/>
  <c r="AA26" i="3"/>
  <c r="AE37" i="3"/>
  <c r="AE26" i="3"/>
  <c r="AC12" i="4"/>
  <c r="AC20" i="4"/>
  <c r="V12" i="4"/>
  <c r="V20" i="4"/>
  <c r="R12" i="4"/>
  <c r="R20" i="4"/>
  <c r="O12" i="4"/>
  <c r="O20" i="4"/>
  <c r="K12" i="4"/>
  <c r="K20" i="4"/>
  <c r="H12" i="4"/>
  <c r="H20" i="4"/>
  <c r="E12" i="4"/>
  <c r="E20" i="4"/>
  <c r="Z17" i="6"/>
  <c r="Z47" i="6"/>
  <c r="Z31" i="6"/>
  <c r="J17" i="6"/>
  <c r="J47" i="6"/>
  <c r="J31" i="6"/>
  <c r="U17" i="6"/>
  <c r="U47" i="6"/>
  <c r="U31" i="6"/>
  <c r="AF17" i="6"/>
  <c r="AF47" i="6"/>
  <c r="AF31" i="6"/>
  <c r="P17" i="6"/>
  <c r="P47" i="6"/>
  <c r="P31" i="6"/>
  <c r="AE31" i="6"/>
  <c r="AE47" i="6"/>
  <c r="O17" i="6"/>
  <c r="O31" i="6"/>
  <c r="O47" i="6"/>
  <c r="F26" i="3"/>
  <c r="F37" i="3"/>
  <c r="O37" i="3"/>
  <c r="O26" i="3"/>
  <c r="K37" i="3"/>
  <c r="K26" i="3"/>
  <c r="Y26" i="3"/>
  <c r="Y37" i="3"/>
  <c r="U26" i="3"/>
  <c r="U37" i="3"/>
  <c r="AD26" i="3"/>
  <c r="AD37" i="3"/>
  <c r="Z26" i="3"/>
  <c r="Z37" i="3"/>
  <c r="AF12" i="4"/>
  <c r="AF20" i="4"/>
  <c r="AB12" i="4"/>
  <c r="AB20" i="4"/>
  <c r="U12" i="4"/>
  <c r="U20" i="4"/>
  <c r="Q12" i="4"/>
  <c r="N12" i="4"/>
  <c r="N20" i="4"/>
  <c r="J12" i="4"/>
  <c r="J20" i="4"/>
  <c r="G12" i="4"/>
  <c r="G20" i="4"/>
  <c r="W4" i="18"/>
  <c r="V67" i="18"/>
  <c r="V41" i="18"/>
  <c r="V54" i="18"/>
  <c r="W4" i="24"/>
  <c r="V22" i="24"/>
  <c r="V13" i="24"/>
  <c r="V31" i="24"/>
  <c r="E15" i="2"/>
  <c r="D5" i="6"/>
  <c r="D15" i="2"/>
  <c r="H50" i="6"/>
  <c r="J32" i="24"/>
  <c r="J33" i="24"/>
  <c r="J34" i="24"/>
  <c r="H35" i="24"/>
  <c r="H22" i="19" s="1"/>
  <c r="H21" i="19" s="1"/>
  <c r="H75" i="18"/>
  <c r="H16" i="19" s="1"/>
  <c r="H15" i="19" s="1"/>
  <c r="D62" i="18"/>
  <c r="H62" i="18"/>
  <c r="L62" i="18"/>
  <c r="P62" i="18"/>
  <c r="T62" i="18"/>
  <c r="X62" i="18"/>
  <c r="AB62" i="18"/>
  <c r="AF62" i="18"/>
  <c r="G62" i="18"/>
  <c r="K62" i="18"/>
  <c r="O62" i="18"/>
  <c r="S62" i="18"/>
  <c r="W62" i="18"/>
  <c r="AA62" i="18"/>
  <c r="AE62" i="18"/>
  <c r="D31" i="3"/>
  <c r="J21" i="3"/>
  <c r="J52" i="6" s="1"/>
  <c r="J54" i="6" s="1"/>
  <c r="J55" i="6" s="1"/>
  <c r="R21" i="3"/>
  <c r="R52" i="6" s="1"/>
  <c r="R54" i="6" s="1"/>
  <c r="R55" i="6" s="1"/>
  <c r="Z21" i="3"/>
  <c r="Z52" i="6" s="1"/>
  <c r="Z54" i="6" s="1"/>
  <c r="Z55" i="6" s="1"/>
  <c r="L21" i="3"/>
  <c r="L52" i="6" s="1"/>
  <c r="L54" i="6" s="1"/>
  <c r="L55" i="6" s="1"/>
  <c r="G21" i="3"/>
  <c r="G52" i="6" s="1"/>
  <c r="K21" i="3"/>
  <c r="K52" i="6" s="1"/>
  <c r="K54" i="6" s="1"/>
  <c r="K55" i="6" s="1"/>
  <c r="O21" i="3"/>
  <c r="O52" i="6" s="1"/>
  <c r="O54" i="6" s="1"/>
  <c r="O55" i="6" s="1"/>
  <c r="S21" i="3"/>
  <c r="S52" i="6" s="1"/>
  <c r="S54" i="6" s="1"/>
  <c r="S55" i="6" s="1"/>
  <c r="W21" i="3"/>
  <c r="W52" i="6" s="1"/>
  <c r="W54" i="6" s="1"/>
  <c r="W55" i="6" s="1"/>
  <c r="AA21" i="3"/>
  <c r="AA52" i="6" s="1"/>
  <c r="AA54" i="6" s="1"/>
  <c r="AA55" i="6" s="1"/>
  <c r="AE21" i="3"/>
  <c r="AE52" i="6" s="1"/>
  <c r="AE54" i="6" s="1"/>
  <c r="AE55" i="6" s="1"/>
  <c r="M21" i="3"/>
  <c r="M52" i="6" s="1"/>
  <c r="M54" i="6" s="1"/>
  <c r="M55" i="6" s="1"/>
  <c r="AC21" i="3"/>
  <c r="AC52" i="6" s="1"/>
  <c r="AC54" i="6" s="1"/>
  <c r="AC55" i="6" s="1"/>
  <c r="AG21" i="3"/>
  <c r="AG52" i="6" s="1"/>
  <c r="AG54" i="6" s="1"/>
  <c r="AG55" i="6" s="1"/>
  <c r="I10" i="3"/>
  <c r="M10" i="3"/>
  <c r="Q10" i="3"/>
  <c r="U10" i="3"/>
  <c r="Y10" i="3"/>
  <c r="AC10" i="3"/>
  <c r="AG10" i="3"/>
  <c r="AG29" i="3"/>
  <c r="G29" i="3"/>
  <c r="O29" i="3"/>
  <c r="W29" i="3"/>
  <c r="F31" i="3"/>
  <c r="J31" i="3"/>
  <c r="N31" i="3"/>
  <c r="R31" i="3"/>
  <c r="V31" i="3"/>
  <c r="Z31" i="3"/>
  <c r="AD31" i="3"/>
  <c r="AD21" i="3"/>
  <c r="AD52" i="6" s="1"/>
  <c r="AD54" i="6" s="1"/>
  <c r="AD55" i="6" s="1"/>
  <c r="P21" i="3"/>
  <c r="P52" i="6" s="1"/>
  <c r="P54" i="6" s="1"/>
  <c r="P55" i="6" s="1"/>
  <c r="T21" i="3"/>
  <c r="T52" i="6" s="1"/>
  <c r="T54" i="6" s="1"/>
  <c r="T55" i="6" s="1"/>
  <c r="AB21" i="3"/>
  <c r="AB52" i="6" s="1"/>
  <c r="AB54" i="6" s="1"/>
  <c r="AB55" i="6" s="1"/>
  <c r="AF21" i="3"/>
  <c r="AF52" i="6" s="1"/>
  <c r="AF54" i="6" s="1"/>
  <c r="AF55" i="6" s="1"/>
  <c r="F10" i="3"/>
  <c r="J10" i="3"/>
  <c r="N10" i="3"/>
  <c r="R10" i="3"/>
  <c r="V10" i="3"/>
  <c r="Z10" i="3"/>
  <c r="AD10" i="3"/>
  <c r="F29" i="3"/>
  <c r="J29" i="3"/>
  <c r="N29" i="3"/>
  <c r="R29" i="3"/>
  <c r="V29" i="3"/>
  <c r="Z29" i="3"/>
  <c r="AD29" i="3"/>
  <c r="D29" i="3"/>
  <c r="AE29" i="3"/>
  <c r="D23" i="4"/>
  <c r="E5" i="7" s="1"/>
  <c r="D21" i="3"/>
  <c r="F23" i="4"/>
  <c r="G5" i="7" s="1"/>
  <c r="J23" i="4"/>
  <c r="K5" i="7" s="1"/>
  <c r="N23" i="4"/>
  <c r="O5" i="7" s="1"/>
  <c r="R23" i="4"/>
  <c r="S5" i="7" s="1"/>
  <c r="V23" i="4"/>
  <c r="W5" i="7" s="1"/>
  <c r="Z23" i="4"/>
  <c r="AA5" i="7" s="1"/>
  <c r="AD23" i="4"/>
  <c r="AE5" i="7" s="1"/>
  <c r="F62" i="18"/>
  <c r="J62" i="18"/>
  <c r="N62" i="18"/>
  <c r="R62" i="18"/>
  <c r="V62" i="18"/>
  <c r="Z62" i="18"/>
  <c r="AD62" i="18"/>
  <c r="C9" i="10" l="1"/>
  <c r="G13" i="10"/>
  <c r="C8" i="10"/>
  <c r="C10" i="10"/>
  <c r="AE51" i="34"/>
  <c r="AE17" i="19" s="1"/>
  <c r="E7" i="6"/>
  <c r="E33" i="6" s="1"/>
  <c r="F5" i="7"/>
  <c r="AB7" i="6"/>
  <c r="AB33" i="6" s="1"/>
  <c r="AB34" i="6" s="1"/>
  <c r="AC5" i="7"/>
  <c r="AE21" i="6"/>
  <c r="AF5" i="7"/>
  <c r="P21" i="6"/>
  <c r="Q5" i="7"/>
  <c r="S7" i="6"/>
  <c r="S33" i="6" s="1"/>
  <c r="S34" i="6" s="1"/>
  <c r="T5" i="7"/>
  <c r="I21" i="6"/>
  <c r="J5" i="7"/>
  <c r="H21" i="6"/>
  <c r="I5" i="7"/>
  <c r="AC7" i="6"/>
  <c r="AC33" i="6" s="1"/>
  <c r="AC34" i="6" s="1"/>
  <c r="AD5" i="7"/>
  <c r="G7" i="6"/>
  <c r="G33" i="6" s="1"/>
  <c r="H5" i="7"/>
  <c r="Q7" i="6"/>
  <c r="Q33" i="6" s="1"/>
  <c r="Q34" i="6" s="1"/>
  <c r="R5" i="7"/>
  <c r="AG7" i="6"/>
  <c r="AG33" i="6" s="1"/>
  <c r="AG34" i="6" s="1"/>
  <c r="AH5" i="7"/>
  <c r="AF21" i="6"/>
  <c r="AG5" i="7"/>
  <c r="U7" i="6"/>
  <c r="U33" i="6" s="1"/>
  <c r="U34" i="6" s="1"/>
  <c r="V5" i="7"/>
  <c r="T7" i="6"/>
  <c r="T33" i="6" s="1"/>
  <c r="T34" i="6" s="1"/>
  <c r="U5" i="7"/>
  <c r="C38" i="3"/>
  <c r="X40" i="3"/>
  <c r="X43" i="3" s="1"/>
  <c r="C39" i="3"/>
  <c r="C29" i="3"/>
  <c r="C23" i="4"/>
  <c r="C5" i="7" s="1"/>
  <c r="C21" i="3"/>
  <c r="C10" i="3"/>
  <c r="G21" i="6"/>
  <c r="E19" i="2"/>
  <c r="E16" i="2"/>
  <c r="E17" i="2" s="1"/>
  <c r="E25" i="7" s="1"/>
  <c r="E48" i="6" s="1"/>
  <c r="C62" i="18"/>
  <c r="D52" i="6"/>
  <c r="C52" i="6" s="1"/>
  <c r="I54" i="6"/>
  <c r="AF72" i="18"/>
  <c r="AF48" i="34"/>
  <c r="D51" i="6"/>
  <c r="D35" i="6"/>
  <c r="AF74" i="18"/>
  <c r="AF50" i="34"/>
  <c r="I35" i="6"/>
  <c r="I51" i="6"/>
  <c r="E15" i="10"/>
  <c r="E14" i="10"/>
  <c r="AF73" i="18"/>
  <c r="AF49" i="34"/>
  <c r="C5" i="6"/>
  <c r="E16" i="9"/>
  <c r="E18" i="9"/>
  <c r="E17" i="9"/>
  <c r="E15" i="9"/>
  <c r="AE47" i="36"/>
  <c r="AE23" i="19" s="1"/>
  <c r="AF235" i="1"/>
  <c r="AF41" i="36"/>
  <c r="AF240" i="1"/>
  <c r="AF46" i="36"/>
  <c r="AF238" i="1"/>
  <c r="AF44" i="36"/>
  <c r="AF236" i="1"/>
  <c r="AF42" i="36"/>
  <c r="AF237" i="1"/>
  <c r="AF43" i="36"/>
  <c r="AF239" i="1"/>
  <c r="AF45" i="36"/>
  <c r="AF88" i="1"/>
  <c r="AG44" i="34" s="1"/>
  <c r="AF68" i="18"/>
  <c r="AF90" i="1"/>
  <c r="AG46" i="34" s="1"/>
  <c r="AF70" i="18"/>
  <c r="AF89" i="1"/>
  <c r="AG45" i="34" s="1"/>
  <c r="AF69" i="18"/>
  <c r="AF91" i="1"/>
  <c r="AG47" i="34" s="1"/>
  <c r="AF71" i="18"/>
  <c r="AE7" i="6"/>
  <c r="AE33" i="6" s="1"/>
  <c r="AE34" i="6" s="1"/>
  <c r="AF60" i="1"/>
  <c r="AG15" i="10" s="1"/>
  <c r="AF32" i="10"/>
  <c r="AE50" i="10"/>
  <c r="AE10" i="19" s="1"/>
  <c r="AF59" i="1"/>
  <c r="AF31" i="10"/>
  <c r="S21" i="6"/>
  <c r="AE33" i="10"/>
  <c r="AE9" i="19" s="1"/>
  <c r="AF58" i="1"/>
  <c r="AG13" i="10" s="1"/>
  <c r="AF30" i="10"/>
  <c r="AF7" i="6"/>
  <c r="AF33" i="6" s="1"/>
  <c r="AF34" i="6" s="1"/>
  <c r="AF92" i="1"/>
  <c r="AF47" i="10"/>
  <c r="H7" i="6"/>
  <c r="H33" i="6" s="1"/>
  <c r="H34" i="6" s="1"/>
  <c r="T21" i="6"/>
  <c r="AF94" i="1"/>
  <c r="AF49" i="10"/>
  <c r="AF93" i="1"/>
  <c r="AF48" i="10"/>
  <c r="I20" i="2"/>
  <c r="I25" i="7"/>
  <c r="Q21" i="6"/>
  <c r="E14" i="9"/>
  <c r="AC21" i="6"/>
  <c r="E21" i="6"/>
  <c r="P7" i="6"/>
  <c r="P33" i="6" s="1"/>
  <c r="P34" i="6" s="1"/>
  <c r="AG21" i="6"/>
  <c r="I7" i="6"/>
  <c r="I33" i="6" s="1"/>
  <c r="AB21" i="6"/>
  <c r="U21" i="6"/>
  <c r="Z21" i="6"/>
  <c r="Z7" i="6"/>
  <c r="Z33" i="6" s="1"/>
  <c r="Z34" i="6" s="1"/>
  <c r="V7" i="6"/>
  <c r="V33" i="6" s="1"/>
  <c r="V34" i="6" s="1"/>
  <c r="V21" i="6"/>
  <c r="R7" i="6"/>
  <c r="R33" i="6" s="1"/>
  <c r="R34" i="6" s="1"/>
  <c r="R21" i="6"/>
  <c r="X21" i="6"/>
  <c r="X7" i="6"/>
  <c r="X33" i="6" s="1"/>
  <c r="X34" i="6" s="1"/>
  <c r="L21" i="6"/>
  <c r="L7" i="6"/>
  <c r="L33" i="6" s="1"/>
  <c r="L34" i="6" s="1"/>
  <c r="N21" i="6"/>
  <c r="N7" i="6"/>
  <c r="N33" i="6" s="1"/>
  <c r="N34" i="6" s="1"/>
  <c r="J21" i="6"/>
  <c r="J7" i="6"/>
  <c r="J33" i="6" s="1"/>
  <c r="J34" i="6" s="1"/>
  <c r="AA21" i="6"/>
  <c r="AA7" i="6"/>
  <c r="AA33" i="6" s="1"/>
  <c r="AA34" i="6" s="1"/>
  <c r="F7" i="6"/>
  <c r="F33" i="6" s="1"/>
  <c r="F21" i="6"/>
  <c r="O21" i="6"/>
  <c r="O7" i="6"/>
  <c r="O33" i="6" s="1"/>
  <c r="O34" i="6" s="1"/>
  <c r="W7" i="6"/>
  <c r="W33" i="6" s="1"/>
  <c r="W34" i="6" s="1"/>
  <c r="W21" i="6"/>
  <c r="AD7" i="6"/>
  <c r="AD33" i="6" s="1"/>
  <c r="AD34" i="6" s="1"/>
  <c r="AD21" i="6"/>
  <c r="K7" i="6"/>
  <c r="K33" i="6" s="1"/>
  <c r="K34" i="6" s="1"/>
  <c r="K21" i="6"/>
  <c r="M21" i="6"/>
  <c r="M7" i="6"/>
  <c r="M33" i="6" s="1"/>
  <c r="M34" i="6" s="1"/>
  <c r="D7" i="6"/>
  <c r="D21" i="6"/>
  <c r="Y21" i="6"/>
  <c r="Y7" i="6"/>
  <c r="Y33" i="6" s="1"/>
  <c r="Y34" i="6" s="1"/>
  <c r="AC43" i="3"/>
  <c r="AC6" i="19" s="1"/>
  <c r="I43" i="3"/>
  <c r="I6" i="19" s="1"/>
  <c r="M43" i="3"/>
  <c r="M6" i="19" s="1"/>
  <c r="AG32" i="3"/>
  <c r="Q43" i="3"/>
  <c r="Q6" i="19" s="1"/>
  <c r="AE43" i="3"/>
  <c r="AE6" i="19" s="1"/>
  <c r="AG43" i="3"/>
  <c r="AG6" i="19" s="1"/>
  <c r="AB43" i="3"/>
  <c r="AB6" i="19" s="1"/>
  <c r="L43" i="3"/>
  <c r="L6" i="19" s="1"/>
  <c r="O43" i="3"/>
  <c r="O6" i="19" s="1"/>
  <c r="Y43" i="3"/>
  <c r="Y6" i="19" s="1"/>
  <c r="H43" i="3"/>
  <c r="H6" i="19" s="1"/>
  <c r="S32" i="3"/>
  <c r="G43" i="3"/>
  <c r="G6" i="19" s="1"/>
  <c r="AA43" i="3"/>
  <c r="AA6" i="19" s="1"/>
  <c r="AD32" i="3"/>
  <c r="AA32" i="3"/>
  <c r="W32" i="3"/>
  <c r="AC32" i="3"/>
  <c r="M32" i="3"/>
  <c r="K32" i="3"/>
  <c r="U43" i="3"/>
  <c r="U6" i="19" s="1"/>
  <c r="S43" i="3"/>
  <c r="S6" i="19" s="1"/>
  <c r="E43" i="3"/>
  <c r="E6" i="19" s="1"/>
  <c r="T43" i="3"/>
  <c r="T6" i="19" s="1"/>
  <c r="AF43" i="3"/>
  <c r="AF6" i="19" s="1"/>
  <c r="P43" i="3"/>
  <c r="P6" i="19" s="1"/>
  <c r="AE32" i="3"/>
  <c r="G32" i="3"/>
  <c r="W43" i="3"/>
  <c r="W6" i="19" s="1"/>
  <c r="Y32" i="3"/>
  <c r="Q32" i="3"/>
  <c r="AF32" i="3"/>
  <c r="X32" i="3"/>
  <c r="Y6" i="7" s="1"/>
  <c r="Y7" i="7" s="1"/>
  <c r="P32" i="3"/>
  <c r="H32" i="3"/>
  <c r="D42" i="3"/>
  <c r="Z32" i="3"/>
  <c r="AA6" i="7" s="1"/>
  <c r="AA7" i="7" s="1"/>
  <c r="J32" i="3"/>
  <c r="K6" i="7" s="1"/>
  <c r="K7" i="7" s="1"/>
  <c r="E32" i="3"/>
  <c r="F6" i="7" s="1"/>
  <c r="H55" i="6"/>
  <c r="K40" i="3"/>
  <c r="K43" i="3" s="1"/>
  <c r="K6" i="19" s="1"/>
  <c r="O32" i="3"/>
  <c r="P6" i="7" s="1"/>
  <c r="P7" i="7" s="1"/>
  <c r="U32" i="3"/>
  <c r="V6" i="7" s="1"/>
  <c r="I32" i="3"/>
  <c r="J6" i="7" s="1"/>
  <c r="AB32" i="3"/>
  <c r="AC6" i="7" s="1"/>
  <c r="T32" i="3"/>
  <c r="U6" i="7" s="1"/>
  <c r="L32" i="3"/>
  <c r="M6" i="7" s="1"/>
  <c r="M7" i="7" s="1"/>
  <c r="D40" i="3"/>
  <c r="F15" i="2"/>
  <c r="G15" i="2"/>
  <c r="G17" i="2" s="1"/>
  <c r="G25" i="7" s="1"/>
  <c r="U14" i="10"/>
  <c r="L14" i="10"/>
  <c r="AD14" i="10"/>
  <c r="N14" i="10"/>
  <c r="Y14" i="10"/>
  <c r="I14" i="10"/>
  <c r="AF14" i="10"/>
  <c r="P14" i="10"/>
  <c r="AA14" i="10"/>
  <c r="K14" i="10"/>
  <c r="Z14" i="10"/>
  <c r="J14" i="10"/>
  <c r="AB14" i="10"/>
  <c r="W14" i="10"/>
  <c r="G14" i="10"/>
  <c r="N15" i="10"/>
  <c r="Y15" i="10"/>
  <c r="I15" i="10"/>
  <c r="T15" i="10"/>
  <c r="AE15" i="10"/>
  <c r="O15" i="10"/>
  <c r="X4" i="24"/>
  <c r="W31" i="24"/>
  <c r="W13" i="24"/>
  <c r="W22" i="24"/>
  <c r="X4" i="18"/>
  <c r="W67" i="18"/>
  <c r="W41" i="18"/>
  <c r="W54" i="18"/>
  <c r="V15" i="10"/>
  <c r="R15" i="10"/>
  <c r="AC15" i="10"/>
  <c r="M15" i="10"/>
  <c r="X15" i="10"/>
  <c r="H15" i="10"/>
  <c r="S15" i="10"/>
  <c r="E54" i="6"/>
  <c r="E35" i="6"/>
  <c r="C35" i="6" s="1"/>
  <c r="M13" i="10"/>
  <c r="S13" i="10"/>
  <c r="AB13" i="10"/>
  <c r="AB16" i="10" s="1"/>
  <c r="AB8" i="19" s="1"/>
  <c r="W13" i="10"/>
  <c r="Z13" i="10"/>
  <c r="V13" i="10"/>
  <c r="R14" i="10"/>
  <c r="J13" i="10"/>
  <c r="F15" i="10"/>
  <c r="AC14" i="10"/>
  <c r="U13" i="10"/>
  <c r="Q15" i="10"/>
  <c r="M14" i="10"/>
  <c r="AF13" i="10"/>
  <c r="AB15" i="10"/>
  <c r="T14" i="10"/>
  <c r="P13" i="10"/>
  <c r="L15" i="10"/>
  <c r="AE14" i="10"/>
  <c r="AA13" i="10"/>
  <c r="W15" i="10"/>
  <c r="O14" i="10"/>
  <c r="K13" i="10"/>
  <c r="G15" i="10"/>
  <c r="K34" i="24"/>
  <c r="I35" i="24"/>
  <c r="I22" i="19" s="1"/>
  <c r="I21" i="19" s="1"/>
  <c r="AD13" i="10"/>
  <c r="R13" i="10"/>
  <c r="AC13" i="10"/>
  <c r="X13" i="10"/>
  <c r="H13" i="10"/>
  <c r="Q13" i="10"/>
  <c r="L13" i="10"/>
  <c r="K33" i="24"/>
  <c r="AD15" i="10"/>
  <c r="Z15" i="10"/>
  <c r="V14" i="10"/>
  <c r="N13" i="10"/>
  <c r="J15" i="10"/>
  <c r="F14" i="10"/>
  <c r="F16" i="10" s="1"/>
  <c r="F8" i="19" s="1"/>
  <c r="AG14" i="10"/>
  <c r="Y13" i="10"/>
  <c r="U15" i="10"/>
  <c r="Q14" i="10"/>
  <c r="I13" i="10"/>
  <c r="I16" i="10" s="1"/>
  <c r="I8" i="19" s="1"/>
  <c r="AF15" i="10"/>
  <c r="X14" i="10"/>
  <c r="T13" i="10"/>
  <c r="P15" i="10"/>
  <c r="H14" i="10"/>
  <c r="AE13" i="10"/>
  <c r="AA15" i="10"/>
  <c r="S14" i="10"/>
  <c r="O13" i="10"/>
  <c r="O16" i="10" s="1"/>
  <c r="O8" i="19" s="1"/>
  <c r="K15" i="10"/>
  <c r="I75" i="18"/>
  <c r="K32" i="24"/>
  <c r="E13" i="10"/>
  <c r="E16" i="10" s="1"/>
  <c r="E8" i="19" s="1"/>
  <c r="V32" i="3"/>
  <c r="W6" i="7" s="1"/>
  <c r="W7" i="7" s="1"/>
  <c r="N32" i="3"/>
  <c r="O6" i="7" s="1"/>
  <c r="O7" i="7" s="1"/>
  <c r="F32" i="3"/>
  <c r="G6" i="7" s="1"/>
  <c r="G7" i="7" s="1"/>
  <c r="R32" i="3"/>
  <c r="S6" i="7" s="1"/>
  <c r="S7" i="7" s="1"/>
  <c r="D17" i="2"/>
  <c r="D20" i="2" s="1"/>
  <c r="D32" i="3"/>
  <c r="E6" i="7" s="1"/>
  <c r="E7" i="7" s="1"/>
  <c r="C12" i="2"/>
  <c r="C3" i="7" s="1"/>
  <c r="R16" i="10" l="1"/>
  <c r="R8" i="19" s="1"/>
  <c r="AC16" i="10"/>
  <c r="AC8" i="19" s="1"/>
  <c r="Z16" i="10"/>
  <c r="Z8" i="19" s="1"/>
  <c r="N16" i="10"/>
  <c r="N8" i="19" s="1"/>
  <c r="Y16" i="10"/>
  <c r="Y8" i="19" s="1"/>
  <c r="Y7" i="19" s="1"/>
  <c r="AG16" i="10"/>
  <c r="AG8" i="19" s="1"/>
  <c r="X16" i="10"/>
  <c r="X8" i="19" s="1"/>
  <c r="V16" i="10"/>
  <c r="V8" i="19" s="1"/>
  <c r="W16" i="10"/>
  <c r="W8" i="19" s="1"/>
  <c r="AE16" i="10"/>
  <c r="AE8" i="19" s="1"/>
  <c r="AE7" i="19" s="1"/>
  <c r="AD16" i="10"/>
  <c r="AD8" i="19" s="1"/>
  <c r="AD7" i="19" s="1"/>
  <c r="U16" i="10"/>
  <c r="U8" i="19" s="1"/>
  <c r="U7" i="19" s="1"/>
  <c r="L16" i="10"/>
  <c r="L8" i="19" s="1"/>
  <c r="L7" i="19" s="1"/>
  <c r="P16" i="10"/>
  <c r="P8" i="19" s="1"/>
  <c r="P7" i="19" s="1"/>
  <c r="M16" i="10"/>
  <c r="M8" i="19" s="1"/>
  <c r="AA16" i="10"/>
  <c r="AA8" i="19" s="1"/>
  <c r="S16" i="10"/>
  <c r="S8" i="19" s="1"/>
  <c r="T16" i="10"/>
  <c r="T8" i="19" s="1"/>
  <c r="T7" i="19" s="1"/>
  <c r="Q16" i="10"/>
  <c r="Q8" i="19" s="1"/>
  <c r="Q7" i="19" s="1"/>
  <c r="J16" i="10"/>
  <c r="J8" i="19" s="1"/>
  <c r="J7" i="19" s="1"/>
  <c r="AF16" i="10"/>
  <c r="AF8" i="19" s="1"/>
  <c r="H16" i="10"/>
  <c r="H8" i="19" s="1"/>
  <c r="H7" i="19" s="1"/>
  <c r="H25" i="19" s="1"/>
  <c r="K16" i="10"/>
  <c r="K8" i="19" s="1"/>
  <c r="G16" i="10"/>
  <c r="G6" i="6"/>
  <c r="H6" i="7"/>
  <c r="H7" i="7" s="1"/>
  <c r="K19" i="6"/>
  <c r="K23" i="6" s="1"/>
  <c r="L6" i="7"/>
  <c r="L7" i="7" s="1"/>
  <c r="S19" i="6"/>
  <c r="S23" i="6" s="1"/>
  <c r="T6" i="7"/>
  <c r="T7" i="7" s="1"/>
  <c r="H19" i="6"/>
  <c r="I6" i="7"/>
  <c r="I7" i="7" s="1"/>
  <c r="AE6" i="6"/>
  <c r="AF6" i="7"/>
  <c r="AF7" i="7" s="1"/>
  <c r="M6" i="6"/>
  <c r="M9" i="6" s="1"/>
  <c r="N6" i="7"/>
  <c r="N7" i="7" s="1"/>
  <c r="AG6" i="6"/>
  <c r="AG36" i="6" s="1"/>
  <c r="AG38" i="6" s="1"/>
  <c r="AG39" i="6" s="1"/>
  <c r="AH6" i="7"/>
  <c r="AH7" i="7" s="1"/>
  <c r="U7" i="7"/>
  <c r="J7" i="7"/>
  <c r="AC7" i="7"/>
  <c r="Y6" i="6"/>
  <c r="Y36" i="6" s="1"/>
  <c r="Y38" i="6" s="1"/>
  <c r="Y39" i="6" s="1"/>
  <c r="Z6" i="7"/>
  <c r="Z7" i="7" s="1"/>
  <c r="P6" i="6"/>
  <c r="P36" i="6" s="1"/>
  <c r="P38" i="6" s="1"/>
  <c r="P39" i="6" s="1"/>
  <c r="Q6" i="7"/>
  <c r="Q7" i="7" s="1"/>
  <c r="AC6" i="6"/>
  <c r="AC9" i="6" s="1"/>
  <c r="AD6" i="7"/>
  <c r="AD7" i="7" s="1"/>
  <c r="V7" i="7"/>
  <c r="F7" i="7"/>
  <c r="W19" i="6"/>
  <c r="W23" i="6" s="1"/>
  <c r="X6" i="7"/>
  <c r="X7" i="7" s="1"/>
  <c r="AF19" i="6"/>
  <c r="AF23" i="6" s="1"/>
  <c r="AG6" i="7"/>
  <c r="AG7" i="7" s="1"/>
  <c r="AA19" i="6"/>
  <c r="AA23" i="6" s="1"/>
  <c r="AB6" i="7"/>
  <c r="AB7" i="7" s="1"/>
  <c r="Q6" i="6"/>
  <c r="Q9" i="6" s="1"/>
  <c r="R6" i="7"/>
  <c r="R7" i="7" s="1"/>
  <c r="AD6" i="6"/>
  <c r="AD9" i="6" s="1"/>
  <c r="AE6" i="7"/>
  <c r="AE7" i="7" s="1"/>
  <c r="AF51" i="34"/>
  <c r="AF17" i="19" s="1"/>
  <c r="C21" i="6"/>
  <c r="C7" i="6"/>
  <c r="D5" i="7" s="1"/>
  <c r="D7" i="7" s="1"/>
  <c r="C40" i="3"/>
  <c r="X6" i="19"/>
  <c r="X19" i="6"/>
  <c r="X23" i="6" s="1"/>
  <c r="C32" i="3"/>
  <c r="C6" i="7" s="1"/>
  <c r="E32" i="6"/>
  <c r="E20" i="2"/>
  <c r="F19" i="2"/>
  <c r="C19" i="2" s="1"/>
  <c r="C13" i="7" s="1"/>
  <c r="C15" i="7" s="1"/>
  <c r="F16" i="2"/>
  <c r="C16" i="2" s="1"/>
  <c r="E20" i="9"/>
  <c r="G48" i="6"/>
  <c r="G32" i="6"/>
  <c r="AG73" i="18"/>
  <c r="AG49" i="34"/>
  <c r="AG72" i="18"/>
  <c r="AG48" i="34"/>
  <c r="I16" i="19"/>
  <c r="I15" i="19" s="1"/>
  <c r="AG74" i="18"/>
  <c r="AG50" i="34"/>
  <c r="I32" i="6"/>
  <c r="I34" i="6" s="1"/>
  <c r="I48" i="6"/>
  <c r="I50" i="6" s="1"/>
  <c r="I55" i="6" s="1"/>
  <c r="AG236" i="1"/>
  <c r="AG42" i="36"/>
  <c r="AG238" i="1"/>
  <c r="AG44" i="36"/>
  <c r="AG240" i="1"/>
  <c r="AG46" i="36"/>
  <c r="AG239" i="1"/>
  <c r="AG45" i="36"/>
  <c r="AF47" i="36"/>
  <c r="AF23" i="19" s="1"/>
  <c r="AG235" i="1"/>
  <c r="AG41" i="36"/>
  <c r="AG237" i="1"/>
  <c r="AG43" i="36"/>
  <c r="AG91" i="1"/>
  <c r="AG71" i="18"/>
  <c r="AG89" i="1"/>
  <c r="AG69" i="18"/>
  <c r="AG90" i="1"/>
  <c r="AG70" i="18"/>
  <c r="AG88" i="1"/>
  <c r="AG68" i="18"/>
  <c r="AF33" i="10"/>
  <c r="AF9" i="19" s="1"/>
  <c r="AG58" i="1"/>
  <c r="AG30" i="10"/>
  <c r="AG59" i="1"/>
  <c r="AG31" i="10"/>
  <c r="AG60" i="1"/>
  <c r="AG32" i="10"/>
  <c r="AG93" i="1"/>
  <c r="AG48" i="10"/>
  <c r="AG94" i="1"/>
  <c r="AG49" i="10"/>
  <c r="AF50" i="10"/>
  <c r="AF10" i="19" s="1"/>
  <c r="AG92" i="1"/>
  <c r="AG47" i="10"/>
  <c r="D3" i="7"/>
  <c r="AE19" i="6"/>
  <c r="AE23" i="6" s="1"/>
  <c r="P19" i="6"/>
  <c r="P23" i="6" s="1"/>
  <c r="D33" i="6"/>
  <c r="C33" i="6" s="1"/>
  <c r="D25" i="7"/>
  <c r="S6" i="6"/>
  <c r="S36" i="6" s="1"/>
  <c r="S38" i="6" s="1"/>
  <c r="S39" i="6" s="1"/>
  <c r="C15" i="2"/>
  <c r="AG19" i="6"/>
  <c r="M19" i="6"/>
  <c r="M23" i="6" s="1"/>
  <c r="AD19" i="6"/>
  <c r="AD23" i="6" s="1"/>
  <c r="W6" i="6"/>
  <c r="W36" i="6" s="1"/>
  <c r="W38" i="6" s="1"/>
  <c r="W39" i="6" s="1"/>
  <c r="AF6" i="6"/>
  <c r="AF9" i="6" s="1"/>
  <c r="X6" i="6"/>
  <c r="X9" i="6" s="1"/>
  <c r="AC19" i="6"/>
  <c r="AC23" i="6" s="1"/>
  <c r="AA6" i="6"/>
  <c r="AA9" i="6" s="1"/>
  <c r="K6" i="6"/>
  <c r="K36" i="6" s="1"/>
  <c r="K38" i="6" s="1"/>
  <c r="K39" i="6" s="1"/>
  <c r="H6" i="6"/>
  <c r="H36" i="6" s="1"/>
  <c r="H38" i="6" s="1"/>
  <c r="H39" i="6" s="1"/>
  <c r="Q19" i="6"/>
  <c r="Q23" i="6" s="1"/>
  <c r="G19" i="6"/>
  <c r="Y19" i="6"/>
  <c r="Y23" i="6" s="1"/>
  <c r="D19" i="6"/>
  <c r="D6" i="6"/>
  <c r="N19" i="6"/>
  <c r="N23" i="6" s="1"/>
  <c r="N6" i="6"/>
  <c r="T6" i="6"/>
  <c r="T19" i="6"/>
  <c r="T23" i="6" s="1"/>
  <c r="O19" i="6"/>
  <c r="O23" i="6" s="1"/>
  <c r="O6" i="6"/>
  <c r="AE9" i="6"/>
  <c r="AE36" i="6"/>
  <c r="AE38" i="6" s="1"/>
  <c r="AE39" i="6" s="1"/>
  <c r="AB6" i="6"/>
  <c r="AB19" i="6"/>
  <c r="AB23" i="6" s="1"/>
  <c r="R19" i="6"/>
  <c r="R23" i="6" s="1"/>
  <c r="R6" i="6"/>
  <c r="V19" i="6"/>
  <c r="V23" i="6" s="1"/>
  <c r="V6" i="6"/>
  <c r="D43" i="3"/>
  <c r="C43" i="3" s="1"/>
  <c r="I6" i="6"/>
  <c r="I19" i="6"/>
  <c r="J19" i="6"/>
  <c r="J23" i="6" s="1"/>
  <c r="J6" i="6"/>
  <c r="F19" i="6"/>
  <c r="F6" i="6"/>
  <c r="F36" i="6" s="1"/>
  <c r="L6" i="6"/>
  <c r="L19" i="6"/>
  <c r="L23" i="6" s="1"/>
  <c r="U6" i="6"/>
  <c r="U19" i="6"/>
  <c r="U23" i="6" s="1"/>
  <c r="E19" i="6"/>
  <c r="E6" i="6"/>
  <c r="Z19" i="6"/>
  <c r="Z23" i="6" s="1"/>
  <c r="Z6" i="6"/>
  <c r="F54" i="6"/>
  <c r="G20" i="2"/>
  <c r="G54" i="6"/>
  <c r="G35" i="6"/>
  <c r="I7" i="19"/>
  <c r="N7" i="19"/>
  <c r="V7" i="19"/>
  <c r="R7" i="19"/>
  <c r="AC7" i="19"/>
  <c r="S7" i="19"/>
  <c r="K7" i="19"/>
  <c r="O7" i="19"/>
  <c r="Y4" i="18"/>
  <c r="X54" i="18"/>
  <c r="X67" i="18"/>
  <c r="X41" i="18"/>
  <c r="Y4" i="24"/>
  <c r="X13" i="24"/>
  <c r="X31" i="24"/>
  <c r="X22" i="24"/>
  <c r="AA7" i="19"/>
  <c r="F7" i="19"/>
  <c r="F25" i="19" s="1"/>
  <c r="Z7" i="19"/>
  <c r="X7" i="19"/>
  <c r="W7" i="19"/>
  <c r="E50" i="6"/>
  <c r="E55" i="6" s="1"/>
  <c r="G9" i="6"/>
  <c r="D54" i="6"/>
  <c r="G36" i="6"/>
  <c r="M7" i="19"/>
  <c r="J35" i="24"/>
  <c r="J22" i="19" s="1"/>
  <c r="J21" i="19" s="1"/>
  <c r="L32" i="24"/>
  <c r="J75" i="18"/>
  <c r="J16" i="19" s="1"/>
  <c r="J15" i="19" s="1"/>
  <c r="L33" i="24"/>
  <c r="L34" i="24"/>
  <c r="AD36" i="6" l="1"/>
  <c r="AD38" i="6" s="1"/>
  <c r="AD39" i="6" s="1"/>
  <c r="Y9" i="6"/>
  <c r="E34" i="6"/>
  <c r="G8" i="19"/>
  <c r="G7" i="19" s="1"/>
  <c r="G25" i="19" s="1"/>
  <c r="M36" i="6"/>
  <c r="M38" i="6" s="1"/>
  <c r="M39" i="6" s="1"/>
  <c r="Q36" i="6"/>
  <c r="Q38" i="6" s="1"/>
  <c r="Q39" i="6" s="1"/>
  <c r="AC36" i="6"/>
  <c r="AC38" i="6" s="1"/>
  <c r="AC39" i="6" s="1"/>
  <c r="P9" i="6"/>
  <c r="I25" i="19"/>
  <c r="AG51" i="34"/>
  <c r="AG17" i="19" s="1"/>
  <c r="C54" i="6"/>
  <c r="C6" i="6"/>
  <c r="C19" i="6"/>
  <c r="F17" i="2"/>
  <c r="C17" i="2" s="1"/>
  <c r="AH236" i="1"/>
  <c r="AH42" i="36"/>
  <c r="AH94" i="1"/>
  <c r="AH49" i="10"/>
  <c r="AH50" i="34"/>
  <c r="AH74" i="18"/>
  <c r="AH58" i="1"/>
  <c r="AH30" i="10"/>
  <c r="AH13" i="10"/>
  <c r="AH89" i="1"/>
  <c r="AH69" i="18"/>
  <c r="AH45" i="34"/>
  <c r="D48" i="6"/>
  <c r="D32" i="6"/>
  <c r="D34" i="6" s="1"/>
  <c r="AH93" i="1"/>
  <c r="AH73" i="18"/>
  <c r="AH49" i="34"/>
  <c r="AH48" i="10"/>
  <c r="AH91" i="1"/>
  <c r="AH71" i="18"/>
  <c r="AH47" i="34"/>
  <c r="AH239" i="1"/>
  <c r="AH45" i="36"/>
  <c r="AH240" i="1"/>
  <c r="AH46" i="36"/>
  <c r="AH60" i="1"/>
  <c r="AH32" i="10"/>
  <c r="AH15" i="10"/>
  <c r="AH88" i="1"/>
  <c r="AH44" i="34"/>
  <c r="AH68" i="18"/>
  <c r="AH237" i="1"/>
  <c r="AH43" i="36"/>
  <c r="AH92" i="1"/>
  <c r="AH72" i="18"/>
  <c r="AH48" i="34"/>
  <c r="AH47" i="10"/>
  <c r="AH238" i="1"/>
  <c r="AH44" i="36"/>
  <c r="AH59" i="1"/>
  <c r="AH31" i="10"/>
  <c r="AH14" i="10"/>
  <c r="AH90" i="1"/>
  <c r="AH70" i="18"/>
  <c r="AH46" i="34"/>
  <c r="AH235" i="1"/>
  <c r="AH41" i="36"/>
  <c r="J25" i="19"/>
  <c r="AF7" i="19"/>
  <c r="AG47" i="36"/>
  <c r="AG23" i="19" s="1"/>
  <c r="AB7" i="19"/>
  <c r="E21" i="9"/>
  <c r="AG33" i="10"/>
  <c r="AG50" i="10"/>
  <c r="AG10" i="19" s="1"/>
  <c r="S9" i="6"/>
  <c r="F25" i="7"/>
  <c r="W9" i="6"/>
  <c r="X36" i="6"/>
  <c r="X38" i="6" s="1"/>
  <c r="X39" i="6" s="1"/>
  <c r="K9" i="6"/>
  <c r="AA36" i="6"/>
  <c r="AA38" i="6" s="1"/>
  <c r="AA39" i="6" s="1"/>
  <c r="H9" i="6"/>
  <c r="AF36" i="6"/>
  <c r="AF38" i="6" s="1"/>
  <c r="AF39" i="6" s="1"/>
  <c r="F38" i="6"/>
  <c r="F9" i="6"/>
  <c r="L9" i="6"/>
  <c r="L36" i="6"/>
  <c r="L38" i="6" s="1"/>
  <c r="L39" i="6" s="1"/>
  <c r="I9" i="6"/>
  <c r="I36" i="6"/>
  <c r="I38" i="6" s="1"/>
  <c r="I39" i="6" s="1"/>
  <c r="AB9" i="6"/>
  <c r="AB36" i="6"/>
  <c r="AB38" i="6" s="1"/>
  <c r="AB39" i="6" s="1"/>
  <c r="J9" i="6"/>
  <c r="J36" i="6"/>
  <c r="J38" i="6" s="1"/>
  <c r="J39" i="6" s="1"/>
  <c r="R9" i="6"/>
  <c r="R36" i="6"/>
  <c r="R38" i="6" s="1"/>
  <c r="R39" i="6" s="1"/>
  <c r="T9" i="6"/>
  <c r="T36" i="6"/>
  <c r="T38" i="6" s="1"/>
  <c r="T39" i="6" s="1"/>
  <c r="D36" i="6"/>
  <c r="D9" i="6"/>
  <c r="U9" i="6"/>
  <c r="U36" i="6"/>
  <c r="U38" i="6" s="1"/>
  <c r="U39" i="6" s="1"/>
  <c r="D6" i="19"/>
  <c r="C6" i="19" s="1"/>
  <c r="O9" i="6"/>
  <c r="O36" i="6"/>
  <c r="O38" i="6" s="1"/>
  <c r="O39" i="6" s="1"/>
  <c r="Z9" i="6"/>
  <c r="Z36" i="6"/>
  <c r="Z38" i="6" s="1"/>
  <c r="Z39" i="6" s="1"/>
  <c r="E36" i="6"/>
  <c r="E38" i="6" s="1"/>
  <c r="E9" i="6"/>
  <c r="V9" i="6"/>
  <c r="V36" i="6"/>
  <c r="V38" i="6" s="1"/>
  <c r="V39" i="6" s="1"/>
  <c r="N9" i="6"/>
  <c r="N36" i="6"/>
  <c r="N38" i="6" s="1"/>
  <c r="N39" i="6" s="1"/>
  <c r="G34" i="6"/>
  <c r="G50" i="6"/>
  <c r="G55" i="6" s="1"/>
  <c r="Z4" i="24"/>
  <c r="Y22" i="24"/>
  <c r="Y31" i="24"/>
  <c r="Y13" i="24"/>
  <c r="Z4" i="18"/>
  <c r="Y54" i="18"/>
  <c r="Y67" i="18"/>
  <c r="Y41" i="18"/>
  <c r="G38" i="6"/>
  <c r="M33" i="24"/>
  <c r="M34" i="24"/>
  <c r="K75" i="18"/>
  <c r="K16" i="19" s="1"/>
  <c r="K15" i="19" s="1"/>
  <c r="K35" i="24"/>
  <c r="K22" i="19" s="1"/>
  <c r="K21" i="19" s="1"/>
  <c r="M32" i="24"/>
  <c r="F20" i="2" l="1"/>
  <c r="C20" i="2" s="1"/>
  <c r="E39" i="6"/>
  <c r="AH16" i="10"/>
  <c r="AG9" i="19"/>
  <c r="AG7" i="19" s="1"/>
  <c r="AH47" i="36"/>
  <c r="AH23" i="19" s="1"/>
  <c r="AH21" i="19" s="1"/>
  <c r="AH50" i="10"/>
  <c r="AH10" i="19" s="1"/>
  <c r="C36" i="6"/>
  <c r="AI60" i="1"/>
  <c r="AI15" i="10"/>
  <c r="AI32" i="10"/>
  <c r="AI59" i="1"/>
  <c r="AI31" i="10"/>
  <c r="AI14" i="10"/>
  <c r="D50" i="6"/>
  <c r="K25" i="19"/>
  <c r="AI237" i="1"/>
  <c r="AI43" i="36"/>
  <c r="E7" i="19"/>
  <c r="AI91" i="1"/>
  <c r="AI71" i="18"/>
  <c r="AI47" i="34"/>
  <c r="AI94" i="1"/>
  <c r="AI74" i="18"/>
  <c r="AI49" i="10"/>
  <c r="AI50" i="34"/>
  <c r="D38" i="6"/>
  <c r="C38" i="6" s="1"/>
  <c r="AI235" i="1"/>
  <c r="AI41" i="36"/>
  <c r="AI238" i="1"/>
  <c r="AI44" i="36"/>
  <c r="AH75" i="18"/>
  <c r="AH16" i="19" s="1"/>
  <c r="AI89" i="1"/>
  <c r="AI45" i="34"/>
  <c r="AI69" i="18"/>
  <c r="AH51" i="34"/>
  <c r="AH17" i="19" s="1"/>
  <c r="AH15" i="19" s="1"/>
  <c r="AI240" i="1"/>
  <c r="AI46" i="36"/>
  <c r="F32" i="6"/>
  <c r="C32" i="6" s="1"/>
  <c r="F48" i="6"/>
  <c r="C48" i="6" s="1"/>
  <c r="AI88" i="1"/>
  <c r="AI68" i="18"/>
  <c r="AI44" i="34"/>
  <c r="AH33" i="10"/>
  <c r="AH9" i="19" s="1"/>
  <c r="AI236" i="1"/>
  <c r="AI42" i="36"/>
  <c r="AI90" i="1"/>
  <c r="AI46" i="34"/>
  <c r="AI70" i="18"/>
  <c r="AI239" i="1"/>
  <c r="AI45" i="36"/>
  <c r="AI93" i="1"/>
  <c r="AI73" i="18"/>
  <c r="AI48" i="10"/>
  <c r="AI49" i="34"/>
  <c r="AI58" i="1"/>
  <c r="AI13" i="10"/>
  <c r="AI30" i="10"/>
  <c r="AI92" i="1"/>
  <c r="AI72" i="18"/>
  <c r="AI48" i="34"/>
  <c r="AI47" i="10"/>
  <c r="C30" i="19"/>
  <c r="C12" i="1"/>
  <c r="C17" i="1" s="1"/>
  <c r="D7" i="9"/>
  <c r="D8" i="9"/>
  <c r="D6" i="9"/>
  <c r="D4" i="9"/>
  <c r="D5" i="9"/>
  <c r="D6" i="7"/>
  <c r="G39" i="6"/>
  <c r="C25" i="7"/>
  <c r="AA4" i="18"/>
  <c r="Z41" i="18"/>
  <c r="Z67" i="18"/>
  <c r="Z54" i="18"/>
  <c r="AA4" i="24"/>
  <c r="Z31" i="24"/>
  <c r="Z22" i="24"/>
  <c r="Z13" i="24"/>
  <c r="L35" i="24"/>
  <c r="L22" i="19" s="1"/>
  <c r="L21" i="19" s="1"/>
  <c r="N34" i="24"/>
  <c r="N33" i="24"/>
  <c r="N32" i="24"/>
  <c r="L75" i="18"/>
  <c r="L16" i="19" s="1"/>
  <c r="L15" i="19" s="1"/>
  <c r="AI16" i="10" l="1"/>
  <c r="AI8" i="19" s="1"/>
  <c r="AH8" i="19"/>
  <c r="D55" i="6"/>
  <c r="D56" i="6" s="1"/>
  <c r="E56" i="6" s="1"/>
  <c r="D39" i="6"/>
  <c r="D40" i="6" s="1"/>
  <c r="E40" i="6" s="1"/>
  <c r="AJ94" i="1"/>
  <c r="AJ74" i="18"/>
  <c r="AJ50" i="34"/>
  <c r="AJ49" i="10"/>
  <c r="AJ60" i="1"/>
  <c r="AJ32" i="10"/>
  <c r="AJ15" i="10"/>
  <c r="AJ239" i="1"/>
  <c r="AJ45" i="36"/>
  <c r="AI51" i="34"/>
  <c r="AI17" i="19" s="1"/>
  <c r="AJ240" i="1"/>
  <c r="AJ46" i="36"/>
  <c r="AJ238" i="1"/>
  <c r="AJ44" i="36"/>
  <c r="AI75" i="18"/>
  <c r="AI16" i="19" s="1"/>
  <c r="AJ235" i="1"/>
  <c r="AJ41" i="36"/>
  <c r="AJ88" i="1"/>
  <c r="AJ68" i="18"/>
  <c r="AJ44" i="34"/>
  <c r="AJ91" i="1"/>
  <c r="AJ47" i="34"/>
  <c r="AJ71" i="18"/>
  <c r="AI50" i="10"/>
  <c r="AI10" i="19" s="1"/>
  <c r="E25" i="19"/>
  <c r="AI47" i="36"/>
  <c r="AI23" i="19" s="1"/>
  <c r="AI21" i="19" s="1"/>
  <c r="AI33" i="10"/>
  <c r="AI9" i="19" s="1"/>
  <c r="AJ58" i="1"/>
  <c r="AJ13" i="10"/>
  <c r="AJ30" i="10"/>
  <c r="AJ90" i="1"/>
  <c r="AJ46" i="34"/>
  <c r="AJ70" i="18"/>
  <c r="AJ89" i="1"/>
  <c r="AJ69" i="18"/>
  <c r="AJ45" i="34"/>
  <c r="AJ59" i="1"/>
  <c r="AJ14" i="10"/>
  <c r="AJ31" i="10"/>
  <c r="AJ92" i="1"/>
  <c r="AJ72" i="18"/>
  <c r="AJ48" i="34"/>
  <c r="AJ47" i="10"/>
  <c r="AJ93" i="1"/>
  <c r="AJ49" i="34"/>
  <c r="AJ73" i="18"/>
  <c r="AJ48" i="10"/>
  <c r="AJ236" i="1"/>
  <c r="AJ42" i="36"/>
  <c r="AJ237" i="1"/>
  <c r="AJ43" i="36"/>
  <c r="E7" i="9"/>
  <c r="E8" i="9"/>
  <c r="E6" i="9"/>
  <c r="E5" i="9"/>
  <c r="L25" i="19"/>
  <c r="E4" i="9"/>
  <c r="F4" i="9" s="1"/>
  <c r="G4" i="9" s="1"/>
  <c r="H4" i="9" s="1"/>
  <c r="I4" i="9" s="1"/>
  <c r="F50" i="6"/>
  <c r="C50" i="6" s="1"/>
  <c r="F34" i="6"/>
  <c r="C34" i="6" s="1"/>
  <c r="AB4" i="24"/>
  <c r="AA31" i="24"/>
  <c r="AA13" i="24"/>
  <c r="AA22" i="24"/>
  <c r="AB4" i="18"/>
  <c r="AA67" i="18"/>
  <c r="AA41" i="18"/>
  <c r="AA54" i="18"/>
  <c r="M75" i="18"/>
  <c r="M16" i="19" s="1"/>
  <c r="M15" i="19" s="1"/>
  <c r="M35" i="24"/>
  <c r="M22" i="19" s="1"/>
  <c r="M21" i="19" s="1"/>
  <c r="O33" i="24"/>
  <c r="O32" i="24"/>
  <c r="O34" i="24"/>
  <c r="AJ16" i="10" l="1"/>
  <c r="AI7" i="19"/>
  <c r="D58" i="6"/>
  <c r="E58" i="6" s="1"/>
  <c r="D42" i="6"/>
  <c r="E42" i="6" s="1"/>
  <c r="AJ33" i="10"/>
  <c r="AJ9" i="19" s="1"/>
  <c r="AK235" i="1"/>
  <c r="AK41" i="36"/>
  <c r="AK239" i="1"/>
  <c r="AK45" i="36"/>
  <c r="AK59" i="1"/>
  <c r="AK14" i="10"/>
  <c r="AK31" i="10"/>
  <c r="AK237" i="1"/>
  <c r="AK43" i="36"/>
  <c r="AJ50" i="10"/>
  <c r="AJ10" i="19" s="1"/>
  <c r="AK91" i="1"/>
  <c r="AK47" i="34"/>
  <c r="AK71" i="18"/>
  <c r="AK238" i="1"/>
  <c r="AK44" i="36"/>
  <c r="AK60" i="1"/>
  <c r="AK32" i="10"/>
  <c r="AK15" i="10"/>
  <c r="AK93" i="1"/>
  <c r="AK73" i="18"/>
  <c r="AK48" i="10"/>
  <c r="AK49" i="34"/>
  <c r="AH7" i="19"/>
  <c r="AK89" i="1"/>
  <c r="AK45" i="34"/>
  <c r="AK69" i="18"/>
  <c r="AJ51" i="34"/>
  <c r="AJ17" i="19" s="1"/>
  <c r="AJ75" i="18"/>
  <c r="AJ16" i="19" s="1"/>
  <c r="AK240" i="1"/>
  <c r="AK46" i="36"/>
  <c r="AK58" i="1"/>
  <c r="AK30" i="10"/>
  <c r="AK13" i="10"/>
  <c r="AK236" i="1"/>
  <c r="AK42" i="36"/>
  <c r="AK92" i="1"/>
  <c r="AK72" i="18"/>
  <c r="AK47" i="10"/>
  <c r="AK48" i="34"/>
  <c r="AK88" i="1"/>
  <c r="AK68" i="18"/>
  <c r="AK75" i="18" s="1"/>
  <c r="AK16" i="19" s="1"/>
  <c r="AK44" i="34"/>
  <c r="AI15" i="19"/>
  <c r="AK90" i="1"/>
  <c r="AK70" i="18"/>
  <c r="AK46" i="34"/>
  <c r="AJ47" i="36"/>
  <c r="AJ23" i="19" s="1"/>
  <c r="AJ21" i="19" s="1"/>
  <c r="AK94" i="1"/>
  <c r="AK74" i="18"/>
  <c r="AK49" i="10"/>
  <c r="AK50" i="34"/>
  <c r="M5" i="9"/>
  <c r="F5" i="9"/>
  <c r="G5" i="9" s="1"/>
  <c r="H5" i="9" s="1"/>
  <c r="I5" i="9" s="1"/>
  <c r="M6" i="9"/>
  <c r="F6" i="9"/>
  <c r="G6" i="9" s="1"/>
  <c r="H6" i="9" s="1"/>
  <c r="I6" i="9" s="1"/>
  <c r="M25" i="19"/>
  <c r="M8" i="9"/>
  <c r="F8" i="9"/>
  <c r="G8" i="9" s="1"/>
  <c r="H8" i="9" s="1"/>
  <c r="I8" i="9" s="1"/>
  <c r="M7" i="9"/>
  <c r="F7" i="9"/>
  <c r="G7" i="9" s="1"/>
  <c r="H7" i="9" s="1"/>
  <c r="I7" i="9" s="1"/>
  <c r="F39" i="6"/>
  <c r="C39" i="6" s="1"/>
  <c r="F55" i="6"/>
  <c r="C55" i="6" s="1"/>
  <c r="AC4" i="18"/>
  <c r="AB67" i="18"/>
  <c r="AB41" i="18"/>
  <c r="AB54" i="18"/>
  <c r="AC4" i="24"/>
  <c r="AB13" i="24"/>
  <c r="AB31" i="24"/>
  <c r="AB22" i="24"/>
  <c r="P34" i="24"/>
  <c r="N35" i="24"/>
  <c r="N22" i="19" s="1"/>
  <c r="N21" i="19" s="1"/>
  <c r="P33" i="24"/>
  <c r="P32" i="24"/>
  <c r="N75" i="18"/>
  <c r="N16" i="19" s="1"/>
  <c r="N15" i="19" s="1"/>
  <c r="AK16" i="10" l="1"/>
  <c r="AK8" i="19" s="1"/>
  <c r="AJ8" i="19"/>
  <c r="AI25" i="19"/>
  <c r="AJ15" i="19"/>
  <c r="AL89" i="1"/>
  <c r="AL69" i="18"/>
  <c r="AL45" i="34"/>
  <c r="AL59" i="1"/>
  <c r="AL14" i="10"/>
  <c r="C14" i="10" s="1"/>
  <c r="AL31" i="10"/>
  <c r="AL58" i="1"/>
  <c r="AL13" i="10"/>
  <c r="AL30" i="10"/>
  <c r="AK51" i="34"/>
  <c r="AK17" i="19" s="1"/>
  <c r="AK15" i="19" s="1"/>
  <c r="AL240" i="1"/>
  <c r="AL46" i="36"/>
  <c r="AH25" i="19"/>
  <c r="AL94" i="1"/>
  <c r="AL74" i="18"/>
  <c r="AL49" i="10"/>
  <c r="AL50" i="34"/>
  <c r="AL88" i="1"/>
  <c r="AL44" i="34"/>
  <c r="AL68" i="18"/>
  <c r="AL75" i="18" s="1"/>
  <c r="AL16" i="19" s="1"/>
  <c r="AL60" i="1"/>
  <c r="AL32" i="10"/>
  <c r="AL15" i="10"/>
  <c r="C15" i="10" s="1"/>
  <c r="AL239" i="1"/>
  <c r="AL45" i="36"/>
  <c r="AL236" i="1"/>
  <c r="AL42" i="36"/>
  <c r="AK47" i="36"/>
  <c r="AK23" i="19" s="1"/>
  <c r="AK21" i="19" s="1"/>
  <c r="N25" i="19"/>
  <c r="AK50" i="10"/>
  <c r="AK10" i="19" s="1"/>
  <c r="AL238" i="1"/>
  <c r="AL44" i="36"/>
  <c r="AL237" i="1"/>
  <c r="AL43" i="36"/>
  <c r="AL235" i="1"/>
  <c r="AL41" i="36"/>
  <c r="AL93" i="1"/>
  <c r="AL73" i="18"/>
  <c r="AL49" i="34"/>
  <c r="AL48" i="10"/>
  <c r="AL91" i="1"/>
  <c r="AL71" i="18"/>
  <c r="AL47" i="34"/>
  <c r="AL90" i="1"/>
  <c r="AL70" i="18"/>
  <c r="AL46" i="34"/>
  <c r="AL92" i="1"/>
  <c r="AL47" i="10"/>
  <c r="AL48" i="34"/>
  <c r="AL72" i="18"/>
  <c r="AK33" i="10"/>
  <c r="AK9" i="19" s="1"/>
  <c r="F58" i="6"/>
  <c r="G58" i="6" s="1"/>
  <c r="H58" i="6" s="1"/>
  <c r="I58" i="6" s="1"/>
  <c r="J58" i="6" s="1"/>
  <c r="K58" i="6" s="1"/>
  <c r="L58" i="6" s="1"/>
  <c r="M58" i="6" s="1"/>
  <c r="N58" i="6" s="1"/>
  <c r="O58" i="6" s="1"/>
  <c r="P58" i="6" s="1"/>
  <c r="Q58" i="6" s="1"/>
  <c r="R58" i="6" s="1"/>
  <c r="S58" i="6" s="1"/>
  <c r="T58" i="6" s="1"/>
  <c r="U58" i="6" s="1"/>
  <c r="V58" i="6" s="1"/>
  <c r="W58" i="6" s="1"/>
  <c r="X58" i="6" s="1"/>
  <c r="Y58" i="6" s="1"/>
  <c r="Z58" i="6" s="1"/>
  <c r="AA58" i="6" s="1"/>
  <c r="AB58" i="6" s="1"/>
  <c r="AC58" i="6" s="1"/>
  <c r="AD58" i="6" s="1"/>
  <c r="AE58" i="6" s="1"/>
  <c r="AF58" i="6" s="1"/>
  <c r="AG58" i="6" s="1"/>
  <c r="AH58" i="6" s="1"/>
  <c r="AI58" i="6" s="1"/>
  <c r="AJ58" i="6" s="1"/>
  <c r="AK58" i="6" s="1"/>
  <c r="AL58" i="6" s="1"/>
  <c r="F42" i="6"/>
  <c r="G42" i="6" s="1"/>
  <c r="H42" i="6" s="1"/>
  <c r="I42" i="6" s="1"/>
  <c r="J42" i="6" s="1"/>
  <c r="K42" i="6" s="1"/>
  <c r="L42" i="6" s="1"/>
  <c r="M42" i="6" s="1"/>
  <c r="N42" i="6" s="1"/>
  <c r="O42" i="6" s="1"/>
  <c r="P42" i="6" s="1"/>
  <c r="Q42" i="6" s="1"/>
  <c r="R42" i="6" s="1"/>
  <c r="S42" i="6" s="1"/>
  <c r="T42" i="6" s="1"/>
  <c r="U42" i="6" s="1"/>
  <c r="V42" i="6" s="1"/>
  <c r="W42" i="6" s="1"/>
  <c r="X42" i="6" s="1"/>
  <c r="Y42" i="6" s="1"/>
  <c r="Z42" i="6" s="1"/>
  <c r="AA42" i="6" s="1"/>
  <c r="AB42" i="6" s="1"/>
  <c r="AC42" i="6" s="1"/>
  <c r="AD42" i="6" s="1"/>
  <c r="AE42" i="6" s="1"/>
  <c r="AF42" i="6" s="1"/>
  <c r="AG42" i="6" s="1"/>
  <c r="AH42" i="6" s="1"/>
  <c r="AI42" i="6" s="1"/>
  <c r="AJ42" i="6" s="1"/>
  <c r="AK42" i="6" s="1"/>
  <c r="AL42" i="6" s="1"/>
  <c r="I9" i="9"/>
  <c r="AL24" i="19" s="1"/>
  <c r="H9" i="9"/>
  <c r="AL8" i="6" s="1"/>
  <c r="F40" i="6"/>
  <c r="F56" i="6"/>
  <c r="AD4" i="24"/>
  <c r="AC22" i="24"/>
  <c r="AC13" i="24"/>
  <c r="AC31" i="24"/>
  <c r="AD4" i="18"/>
  <c r="AC54" i="18"/>
  <c r="AC41" i="18"/>
  <c r="AC67" i="18"/>
  <c r="Q34" i="24"/>
  <c r="O75" i="18"/>
  <c r="O16" i="19" s="1"/>
  <c r="O15" i="19" s="1"/>
  <c r="O35" i="24"/>
  <c r="O22" i="19" s="1"/>
  <c r="O21" i="19" s="1"/>
  <c r="Q32" i="24"/>
  <c r="Q33" i="24"/>
  <c r="AM4" i="7" l="1"/>
  <c r="AM7" i="7" s="1"/>
  <c r="C8" i="6"/>
  <c r="C11" i="6" s="1"/>
  <c r="C4" i="7"/>
  <c r="AL22" i="6"/>
  <c r="AL9" i="6"/>
  <c r="AL16" i="10"/>
  <c r="C13" i="10"/>
  <c r="AL47" i="36"/>
  <c r="AL23" i="19" s="1"/>
  <c r="AL21" i="19" s="1"/>
  <c r="AL33" i="10"/>
  <c r="AL50" i="10"/>
  <c r="AL10" i="19" s="1"/>
  <c r="AK7" i="19"/>
  <c r="AK25" i="19" s="1"/>
  <c r="AM91" i="1"/>
  <c r="AM71" i="18"/>
  <c r="AM94" i="1"/>
  <c r="AM74" i="18"/>
  <c r="AM58" i="1"/>
  <c r="AM93" i="1"/>
  <c r="AM73" i="18"/>
  <c r="AJ7" i="19"/>
  <c r="AM236" i="1"/>
  <c r="AL51" i="34"/>
  <c r="AL17" i="19" s="1"/>
  <c r="AL15" i="19" s="1"/>
  <c r="AM60" i="1"/>
  <c r="AM92" i="1"/>
  <c r="AM72" i="18"/>
  <c r="AM237" i="1"/>
  <c r="AM88" i="1"/>
  <c r="AM68" i="18"/>
  <c r="AM59" i="1"/>
  <c r="AM90" i="1"/>
  <c r="AM70" i="18"/>
  <c r="AM239" i="1"/>
  <c r="AM240" i="1"/>
  <c r="AM235" i="1"/>
  <c r="AM238" i="1"/>
  <c r="AM89" i="1"/>
  <c r="AM69" i="18"/>
  <c r="C24" i="19"/>
  <c r="O25" i="19"/>
  <c r="AG22" i="6"/>
  <c r="AG9" i="6"/>
  <c r="G40" i="6"/>
  <c r="G56" i="6"/>
  <c r="AE4" i="18"/>
  <c r="AD54" i="18"/>
  <c r="AD41" i="18"/>
  <c r="AD67" i="18"/>
  <c r="AE4" i="24"/>
  <c r="AD31" i="24"/>
  <c r="AD22" i="24"/>
  <c r="AD13" i="24"/>
  <c r="P75" i="18"/>
  <c r="P16" i="19" s="1"/>
  <c r="P15" i="19" s="1"/>
  <c r="P35" i="24"/>
  <c r="P22" i="19" s="1"/>
  <c r="P21" i="19" s="1"/>
  <c r="R33" i="24"/>
  <c r="R32" i="24"/>
  <c r="R34" i="24"/>
  <c r="C9" i="6" l="1"/>
  <c r="C22" i="6"/>
  <c r="AL23" i="6"/>
  <c r="C7" i="7"/>
  <c r="D8" i="7"/>
  <c r="D9" i="7" s="1"/>
  <c r="AL9" i="19"/>
  <c r="AL8" i="19"/>
  <c r="AL7" i="19" s="1"/>
  <c r="AL25" i="19" s="1"/>
  <c r="C16" i="10"/>
  <c r="AN238" i="1"/>
  <c r="AN239" i="1"/>
  <c r="AM75" i="18"/>
  <c r="AJ25" i="19"/>
  <c r="AN88" i="1"/>
  <c r="AN68" i="18"/>
  <c r="AN60" i="1"/>
  <c r="AN92" i="1"/>
  <c r="AN72" i="18"/>
  <c r="AN90" i="1"/>
  <c r="AN70" i="18"/>
  <c r="AN237" i="1"/>
  <c r="AN94" i="1"/>
  <c r="AN74" i="18"/>
  <c r="AN58" i="1"/>
  <c r="AN235" i="1"/>
  <c r="AN93" i="1"/>
  <c r="AN73" i="18"/>
  <c r="AN236" i="1"/>
  <c r="AN89" i="1"/>
  <c r="AN69" i="18"/>
  <c r="AN240" i="1"/>
  <c r="AN59" i="1"/>
  <c r="AN91" i="1"/>
  <c r="AN71" i="18"/>
  <c r="C12" i="6"/>
  <c r="P25" i="19"/>
  <c r="AG23" i="6"/>
  <c r="D4" i="7"/>
  <c r="H40" i="6"/>
  <c r="H56" i="6"/>
  <c r="AF4" i="24"/>
  <c r="AE31" i="24"/>
  <c r="AE13" i="24"/>
  <c r="AE22" i="24"/>
  <c r="AF4" i="18"/>
  <c r="AE67" i="18"/>
  <c r="AE41" i="18"/>
  <c r="AE54" i="18"/>
  <c r="S34" i="24"/>
  <c r="S32" i="24"/>
  <c r="S33" i="24"/>
  <c r="Q35" i="24"/>
  <c r="Q22" i="19" s="1"/>
  <c r="Q21" i="19" s="1"/>
  <c r="Q75" i="18"/>
  <c r="Q16" i="19" s="1"/>
  <c r="Q15" i="19" s="1"/>
  <c r="Q25" i="19" l="1"/>
  <c r="E27" i="7"/>
  <c r="E28" i="7" s="1"/>
  <c r="D27" i="7"/>
  <c r="F27" i="7"/>
  <c r="F28" i="7" s="1"/>
  <c r="H27" i="7"/>
  <c r="H28" i="7" s="1"/>
  <c r="I27" i="7"/>
  <c r="I28" i="7" s="1"/>
  <c r="G27" i="7"/>
  <c r="G28" i="7" s="1"/>
  <c r="C16" i="7"/>
  <c r="C18" i="7" s="1"/>
  <c r="C19" i="7" s="1"/>
  <c r="AO236" i="1"/>
  <c r="AO237" i="1"/>
  <c r="AO59" i="1"/>
  <c r="AO58" i="1"/>
  <c r="AO60" i="1"/>
  <c r="AO240" i="1"/>
  <c r="AO90" i="1"/>
  <c r="AO70" i="18"/>
  <c r="AO93" i="1"/>
  <c r="AO73" i="18"/>
  <c r="AO91" i="1"/>
  <c r="AO71" i="18"/>
  <c r="AO239" i="1"/>
  <c r="AO89" i="1"/>
  <c r="AO69" i="18"/>
  <c r="AO94" i="1"/>
  <c r="AO74" i="18"/>
  <c r="AN75" i="18"/>
  <c r="AO235" i="1"/>
  <c r="AO92" i="1"/>
  <c r="AO72" i="18"/>
  <c r="AO88" i="1"/>
  <c r="AO68" i="18"/>
  <c r="AO238" i="1"/>
  <c r="I40" i="6"/>
  <c r="I56" i="6"/>
  <c r="AG4" i="18"/>
  <c r="AH4" i="18" s="1"/>
  <c r="AF41" i="18"/>
  <c r="AF67" i="18"/>
  <c r="AF54" i="18"/>
  <c r="AG4" i="24"/>
  <c r="AH4" i="24" s="1"/>
  <c r="AF22" i="24"/>
  <c r="AF31" i="24"/>
  <c r="AF13" i="24"/>
  <c r="T34" i="24"/>
  <c r="T33" i="24"/>
  <c r="R75" i="18"/>
  <c r="R16" i="19" s="1"/>
  <c r="R15" i="19" s="1"/>
  <c r="R35" i="24"/>
  <c r="R22" i="19" s="1"/>
  <c r="R21" i="19" s="1"/>
  <c r="T32" i="24"/>
  <c r="G18" i="6" l="1"/>
  <c r="G23" i="6" s="1"/>
  <c r="H18" i="6"/>
  <c r="H23" i="6" s="1"/>
  <c r="F18" i="6"/>
  <c r="F23" i="6" s="1"/>
  <c r="D28" i="7"/>
  <c r="C27" i="7"/>
  <c r="E18" i="6"/>
  <c r="E23" i="6" s="1"/>
  <c r="I18" i="6"/>
  <c r="I23" i="6" s="1"/>
  <c r="AP94" i="1"/>
  <c r="AP74" i="18"/>
  <c r="AP59" i="1"/>
  <c r="AP240" i="1"/>
  <c r="AP93" i="1"/>
  <c r="AP73" i="18"/>
  <c r="AP60" i="1"/>
  <c r="AP238" i="1"/>
  <c r="AP237" i="1"/>
  <c r="AI4" i="24"/>
  <c r="AH31" i="24"/>
  <c r="AH13" i="24"/>
  <c r="AH22" i="24"/>
  <c r="AP235" i="1"/>
  <c r="AO75" i="18"/>
  <c r="AP239" i="1"/>
  <c r="AI4" i="18"/>
  <c r="AH54" i="18"/>
  <c r="AH67" i="18"/>
  <c r="AH41" i="18"/>
  <c r="AP89" i="1"/>
  <c r="AP69" i="18"/>
  <c r="AP91" i="1"/>
  <c r="AP71" i="18"/>
  <c r="AP90" i="1"/>
  <c r="AP70" i="18"/>
  <c r="AP58" i="1"/>
  <c r="AP92" i="1"/>
  <c r="AP72" i="18"/>
  <c r="AP88" i="1"/>
  <c r="AP68" i="18"/>
  <c r="AP236" i="1"/>
  <c r="R25" i="19"/>
  <c r="J56" i="6"/>
  <c r="J40" i="6"/>
  <c r="AG22" i="24"/>
  <c r="AG31" i="24"/>
  <c r="AG13" i="24"/>
  <c r="AG54" i="18"/>
  <c r="AG67" i="18"/>
  <c r="AG41" i="18"/>
  <c r="S75" i="18"/>
  <c r="S16" i="19" s="1"/>
  <c r="S15" i="19" s="1"/>
  <c r="S35" i="24"/>
  <c r="S22" i="19" s="1"/>
  <c r="S21" i="19" s="1"/>
  <c r="U32" i="24"/>
  <c r="U33" i="24"/>
  <c r="U34" i="24"/>
  <c r="D18" i="6" l="1"/>
  <c r="C28" i="7"/>
  <c r="AQ91" i="1"/>
  <c r="AR91" i="1" s="1"/>
  <c r="AS91" i="1" s="1"/>
  <c r="AT91" i="1" s="1"/>
  <c r="AU91" i="1" s="1"/>
  <c r="AV91" i="1" s="1"/>
  <c r="AW91" i="1" s="1"/>
  <c r="AX91" i="1" s="1"/>
  <c r="AY91" i="1" s="1"/>
  <c r="AZ91" i="1" s="1"/>
  <c r="BA91" i="1" s="1"/>
  <c r="BB91" i="1" s="1"/>
  <c r="AQ71" i="18"/>
  <c r="C71" i="18" s="1"/>
  <c r="C47" i="34"/>
  <c r="AQ239" i="1"/>
  <c r="AR239" i="1" s="1"/>
  <c r="AS239" i="1" s="1"/>
  <c r="AT239" i="1" s="1"/>
  <c r="AU239" i="1" s="1"/>
  <c r="AV239" i="1" s="1"/>
  <c r="AW239" i="1" s="1"/>
  <c r="AX239" i="1" s="1"/>
  <c r="AY239" i="1" s="1"/>
  <c r="AZ239" i="1" s="1"/>
  <c r="BA239" i="1" s="1"/>
  <c r="BB239" i="1" s="1"/>
  <c r="C45" i="36"/>
  <c r="AI13" i="24"/>
  <c r="AI22" i="24"/>
  <c r="AI31" i="24"/>
  <c r="AJ4" i="24"/>
  <c r="AQ58" i="1"/>
  <c r="AR58" i="1" s="1"/>
  <c r="AS58" i="1" s="1"/>
  <c r="AT58" i="1" s="1"/>
  <c r="AU58" i="1" s="1"/>
  <c r="AV58" i="1" s="1"/>
  <c r="AW58" i="1" s="1"/>
  <c r="AX58" i="1" s="1"/>
  <c r="AY58" i="1" s="1"/>
  <c r="AZ58" i="1" s="1"/>
  <c r="BA58" i="1" s="1"/>
  <c r="BB58" i="1" s="1"/>
  <c r="AQ60" i="1"/>
  <c r="AR60" i="1" s="1"/>
  <c r="AS60" i="1" s="1"/>
  <c r="AT60" i="1" s="1"/>
  <c r="AU60" i="1" s="1"/>
  <c r="AV60" i="1" s="1"/>
  <c r="AW60" i="1" s="1"/>
  <c r="AX60" i="1" s="1"/>
  <c r="AY60" i="1" s="1"/>
  <c r="AZ60" i="1" s="1"/>
  <c r="BA60" i="1" s="1"/>
  <c r="BB60" i="1" s="1"/>
  <c r="AQ240" i="1"/>
  <c r="AR240" i="1" s="1"/>
  <c r="AS240" i="1" s="1"/>
  <c r="AT240" i="1" s="1"/>
  <c r="AU240" i="1" s="1"/>
  <c r="AV240" i="1" s="1"/>
  <c r="AW240" i="1" s="1"/>
  <c r="AX240" i="1" s="1"/>
  <c r="AY240" i="1" s="1"/>
  <c r="AZ240" i="1" s="1"/>
  <c r="BA240" i="1" s="1"/>
  <c r="BB240" i="1" s="1"/>
  <c r="C46" i="36"/>
  <c r="AQ237" i="1"/>
  <c r="AR237" i="1" s="1"/>
  <c r="AS237" i="1" s="1"/>
  <c r="AT237" i="1" s="1"/>
  <c r="AU237" i="1" s="1"/>
  <c r="AV237" i="1" s="1"/>
  <c r="AW237" i="1" s="1"/>
  <c r="AX237" i="1" s="1"/>
  <c r="AY237" i="1" s="1"/>
  <c r="AZ237" i="1" s="1"/>
  <c r="BA237" i="1" s="1"/>
  <c r="BB237" i="1" s="1"/>
  <c r="C43" i="36"/>
  <c r="AQ59" i="1"/>
  <c r="AR59" i="1" s="1"/>
  <c r="AS59" i="1" s="1"/>
  <c r="AT59" i="1" s="1"/>
  <c r="AU59" i="1" s="1"/>
  <c r="AV59" i="1" s="1"/>
  <c r="AW59" i="1" s="1"/>
  <c r="AX59" i="1" s="1"/>
  <c r="AY59" i="1" s="1"/>
  <c r="AZ59" i="1" s="1"/>
  <c r="BA59" i="1" s="1"/>
  <c r="BB59" i="1" s="1"/>
  <c r="AQ88" i="1"/>
  <c r="AR88" i="1" s="1"/>
  <c r="AS88" i="1" s="1"/>
  <c r="AT88" i="1" s="1"/>
  <c r="AU88" i="1" s="1"/>
  <c r="AV88" i="1" s="1"/>
  <c r="AW88" i="1" s="1"/>
  <c r="AX88" i="1" s="1"/>
  <c r="AY88" i="1" s="1"/>
  <c r="AZ88" i="1" s="1"/>
  <c r="BA88" i="1" s="1"/>
  <c r="BB88" i="1" s="1"/>
  <c r="AQ68" i="18"/>
  <c r="S25" i="19"/>
  <c r="AQ235" i="1"/>
  <c r="AR235" i="1" s="1"/>
  <c r="AS235" i="1" s="1"/>
  <c r="AT235" i="1" s="1"/>
  <c r="AU235" i="1" s="1"/>
  <c r="AV235" i="1" s="1"/>
  <c r="AW235" i="1" s="1"/>
  <c r="AX235" i="1" s="1"/>
  <c r="AY235" i="1" s="1"/>
  <c r="AZ235" i="1" s="1"/>
  <c r="BA235" i="1" s="1"/>
  <c r="BB235" i="1" s="1"/>
  <c r="AP75" i="18"/>
  <c r="AQ93" i="1"/>
  <c r="AR93" i="1" s="1"/>
  <c r="AS93" i="1" s="1"/>
  <c r="AT93" i="1" s="1"/>
  <c r="AU93" i="1" s="1"/>
  <c r="AV93" i="1" s="1"/>
  <c r="AW93" i="1" s="1"/>
  <c r="AX93" i="1" s="1"/>
  <c r="AY93" i="1" s="1"/>
  <c r="AZ93" i="1" s="1"/>
  <c r="BA93" i="1" s="1"/>
  <c r="BB93" i="1" s="1"/>
  <c r="AQ73" i="18"/>
  <c r="C73" i="18" s="1"/>
  <c r="C49" i="34"/>
  <c r="AQ89" i="1"/>
  <c r="AR89" i="1" s="1"/>
  <c r="AS89" i="1" s="1"/>
  <c r="AT89" i="1" s="1"/>
  <c r="AU89" i="1" s="1"/>
  <c r="AV89" i="1" s="1"/>
  <c r="AW89" i="1" s="1"/>
  <c r="AX89" i="1" s="1"/>
  <c r="AY89" i="1" s="1"/>
  <c r="AZ89" i="1" s="1"/>
  <c r="BA89" i="1" s="1"/>
  <c r="BB89" i="1" s="1"/>
  <c r="AQ69" i="18"/>
  <c r="C69" i="18" s="1"/>
  <c r="C45" i="34"/>
  <c r="AQ90" i="1"/>
  <c r="AR90" i="1" s="1"/>
  <c r="AS90" i="1" s="1"/>
  <c r="AT90" i="1" s="1"/>
  <c r="AU90" i="1" s="1"/>
  <c r="AV90" i="1" s="1"/>
  <c r="AW90" i="1" s="1"/>
  <c r="AX90" i="1" s="1"/>
  <c r="AY90" i="1" s="1"/>
  <c r="AZ90" i="1" s="1"/>
  <c r="BA90" i="1" s="1"/>
  <c r="BB90" i="1" s="1"/>
  <c r="C46" i="34"/>
  <c r="AQ70" i="18"/>
  <c r="C70" i="18" s="1"/>
  <c r="AQ236" i="1"/>
  <c r="AR236" i="1" s="1"/>
  <c r="AS236" i="1" s="1"/>
  <c r="AT236" i="1" s="1"/>
  <c r="AU236" i="1" s="1"/>
  <c r="AV236" i="1" s="1"/>
  <c r="AW236" i="1" s="1"/>
  <c r="AX236" i="1" s="1"/>
  <c r="AY236" i="1" s="1"/>
  <c r="AZ236" i="1" s="1"/>
  <c r="BA236" i="1" s="1"/>
  <c r="BB236" i="1" s="1"/>
  <c r="C42" i="36"/>
  <c r="AQ92" i="1"/>
  <c r="AR92" i="1" s="1"/>
  <c r="AS92" i="1" s="1"/>
  <c r="AT92" i="1" s="1"/>
  <c r="AU92" i="1" s="1"/>
  <c r="AV92" i="1" s="1"/>
  <c r="AW92" i="1" s="1"/>
  <c r="AX92" i="1" s="1"/>
  <c r="AY92" i="1" s="1"/>
  <c r="AZ92" i="1" s="1"/>
  <c r="BA92" i="1" s="1"/>
  <c r="BB92" i="1" s="1"/>
  <c r="AQ72" i="18"/>
  <c r="C72" i="18" s="1"/>
  <c r="C48" i="34"/>
  <c r="C47" i="10"/>
  <c r="AJ4" i="18"/>
  <c r="AI54" i="18"/>
  <c r="AI41" i="18"/>
  <c r="AI67" i="18"/>
  <c r="AQ238" i="1"/>
  <c r="AR238" i="1" s="1"/>
  <c r="AS238" i="1" s="1"/>
  <c r="AT238" i="1" s="1"/>
  <c r="AU238" i="1" s="1"/>
  <c r="AV238" i="1" s="1"/>
  <c r="AW238" i="1" s="1"/>
  <c r="AX238" i="1" s="1"/>
  <c r="AY238" i="1" s="1"/>
  <c r="AZ238" i="1" s="1"/>
  <c r="BA238" i="1" s="1"/>
  <c r="BB238" i="1" s="1"/>
  <c r="C44" i="36"/>
  <c r="AQ94" i="1"/>
  <c r="AR94" i="1" s="1"/>
  <c r="AS94" i="1" s="1"/>
  <c r="AT94" i="1" s="1"/>
  <c r="AU94" i="1" s="1"/>
  <c r="AV94" i="1" s="1"/>
  <c r="AW94" i="1" s="1"/>
  <c r="AX94" i="1" s="1"/>
  <c r="AY94" i="1" s="1"/>
  <c r="AZ94" i="1" s="1"/>
  <c r="BA94" i="1" s="1"/>
  <c r="BB94" i="1" s="1"/>
  <c r="AQ74" i="18"/>
  <c r="C74" i="18" s="1"/>
  <c r="C50" i="34"/>
  <c r="C49" i="10"/>
  <c r="K56" i="6"/>
  <c r="K40" i="6"/>
  <c r="V33" i="24"/>
  <c r="T75" i="18"/>
  <c r="T16" i="19" s="1"/>
  <c r="T15" i="19" s="1"/>
  <c r="V32" i="24"/>
  <c r="V34" i="24"/>
  <c r="T35" i="24"/>
  <c r="T22" i="19" s="1"/>
  <c r="T21" i="19" s="1"/>
  <c r="D23" i="6" l="1"/>
  <c r="C18" i="6"/>
  <c r="C25" i="6" s="1"/>
  <c r="AK4" i="18"/>
  <c r="AJ41" i="18"/>
  <c r="AJ67" i="18"/>
  <c r="AJ54" i="18"/>
  <c r="C41" i="36"/>
  <c r="C48" i="10"/>
  <c r="C44" i="34"/>
  <c r="AK4" i="24"/>
  <c r="AJ31" i="24"/>
  <c r="AJ22" i="24"/>
  <c r="AJ13" i="24"/>
  <c r="AQ75" i="18"/>
  <c r="C68" i="18"/>
  <c r="T25" i="19"/>
  <c r="L56" i="6"/>
  <c r="L40" i="6"/>
  <c r="W33" i="24"/>
  <c r="W34" i="24"/>
  <c r="U75" i="18"/>
  <c r="U16" i="19" s="1"/>
  <c r="U15" i="19" s="1"/>
  <c r="U35" i="24"/>
  <c r="U22" i="19" s="1"/>
  <c r="U21" i="19" s="1"/>
  <c r="W32" i="24"/>
  <c r="C26" i="6" l="1"/>
  <c r="C23" i="6"/>
  <c r="AK31" i="24"/>
  <c r="AL4" i="24"/>
  <c r="AK22" i="24"/>
  <c r="AK13" i="24"/>
  <c r="C17" i="19"/>
  <c r="C51" i="34"/>
  <c r="C47" i="36"/>
  <c r="C10" i="19"/>
  <c r="C50" i="10"/>
  <c r="AL4" i="18"/>
  <c r="AK54" i="18"/>
  <c r="AK41" i="18"/>
  <c r="AK67" i="18"/>
  <c r="U25" i="19"/>
  <c r="M56" i="6"/>
  <c r="M40" i="6"/>
  <c r="V75" i="18"/>
  <c r="V16" i="19" s="1"/>
  <c r="V15" i="19" s="1"/>
  <c r="X34" i="24"/>
  <c r="V35" i="24"/>
  <c r="V22" i="19" s="1"/>
  <c r="V21" i="19" s="1"/>
  <c r="X33" i="24"/>
  <c r="X32" i="24"/>
  <c r="C23" i="19" l="1"/>
  <c r="AL31" i="24"/>
  <c r="AL13" i="24"/>
  <c r="AL22" i="24"/>
  <c r="AM4" i="18"/>
  <c r="AL41" i="18"/>
  <c r="AL54" i="18"/>
  <c r="AL67" i="18"/>
  <c r="C8" i="19"/>
  <c r="V25" i="19"/>
  <c r="N56" i="6"/>
  <c r="N40" i="6"/>
  <c r="W75" i="18"/>
  <c r="W16" i="19" s="1"/>
  <c r="W15" i="19" s="1"/>
  <c r="W35" i="24"/>
  <c r="W22" i="19" s="1"/>
  <c r="W21" i="19" s="1"/>
  <c r="Y32" i="24"/>
  <c r="Y33" i="24"/>
  <c r="Y34" i="24"/>
  <c r="AM41" i="18" l="1"/>
  <c r="AM54" i="18"/>
  <c r="AN4" i="18"/>
  <c r="AM67" i="18"/>
  <c r="W25" i="19"/>
  <c r="O56" i="6"/>
  <c r="O40" i="6"/>
  <c r="X35" i="24"/>
  <c r="X22" i="19" s="1"/>
  <c r="X21" i="19" s="1"/>
  <c r="Z34" i="24"/>
  <c r="Z32" i="24"/>
  <c r="X75" i="18"/>
  <c r="X16" i="19" s="1"/>
  <c r="X15" i="19" s="1"/>
  <c r="Z33" i="24"/>
  <c r="AO4" i="18" l="1"/>
  <c r="AN67" i="18"/>
  <c r="AN54" i="18"/>
  <c r="AN41" i="18"/>
  <c r="X25" i="19"/>
  <c r="P40" i="6"/>
  <c r="P56" i="6"/>
  <c r="AA32" i="24"/>
  <c r="AA34" i="24"/>
  <c r="AA33" i="24"/>
  <c r="Y75" i="18"/>
  <c r="Y35" i="24"/>
  <c r="Y22" i="19" s="1"/>
  <c r="Y21" i="19" s="1"/>
  <c r="AO41" i="18" l="1"/>
  <c r="AO67" i="18"/>
  <c r="AO54" i="18"/>
  <c r="AP4" i="18"/>
  <c r="Y16" i="19"/>
  <c r="Q56" i="6"/>
  <c r="Q40" i="6"/>
  <c r="Z75" i="18"/>
  <c r="Z16" i="19" s="1"/>
  <c r="Z15" i="19" s="1"/>
  <c r="AB34" i="24"/>
  <c r="Z35" i="24"/>
  <c r="Z22" i="19" s="1"/>
  <c r="Z21" i="19" s="1"/>
  <c r="AB33" i="24"/>
  <c r="AB32" i="24"/>
  <c r="Y15" i="19" l="1"/>
  <c r="Y25" i="19" s="1"/>
  <c r="AP41" i="18"/>
  <c r="AP54" i="18"/>
  <c r="AQ4" i="18"/>
  <c r="AP67" i="18"/>
  <c r="Z25" i="19"/>
  <c r="R56" i="6"/>
  <c r="R40" i="6"/>
  <c r="AC33" i="24"/>
  <c r="AC32" i="24"/>
  <c r="AC34" i="24"/>
  <c r="AA35" i="24"/>
  <c r="AA22" i="19" s="1"/>
  <c r="AA21" i="19" s="1"/>
  <c r="AA75" i="18"/>
  <c r="AA16" i="19" s="1"/>
  <c r="AA15" i="19" s="1"/>
  <c r="AA25" i="19" l="1"/>
  <c r="AQ54" i="18"/>
  <c r="AQ41" i="18"/>
  <c r="AQ67" i="18"/>
  <c r="S40" i="6"/>
  <c r="S56" i="6"/>
  <c r="AB35" i="24"/>
  <c r="AB22" i="19" s="1"/>
  <c r="AB21" i="19" s="1"/>
  <c r="AD32" i="24"/>
  <c r="AD33" i="24"/>
  <c r="AD34" i="24"/>
  <c r="AB75" i="18"/>
  <c r="AB16" i="19" s="1"/>
  <c r="AB15" i="19" l="1"/>
  <c r="AB25" i="19" s="1"/>
  <c r="T56" i="6"/>
  <c r="T40" i="6"/>
  <c r="AE34" i="24"/>
  <c r="AC35" i="24"/>
  <c r="AC22" i="19" s="1"/>
  <c r="AC21" i="19" s="1"/>
  <c r="AC75" i="18"/>
  <c r="AC16" i="19" s="1"/>
  <c r="AC15" i="19" s="1"/>
  <c r="AE32" i="24"/>
  <c r="AE33" i="24"/>
  <c r="AC25" i="19" l="1"/>
  <c r="U56" i="6"/>
  <c r="U40" i="6"/>
  <c r="AD75" i="18"/>
  <c r="AD16" i="19" s="1"/>
  <c r="AD15" i="19" s="1"/>
  <c r="AD35" i="24"/>
  <c r="AD22" i="19" s="1"/>
  <c r="AD21" i="19" s="1"/>
  <c r="AF34" i="24"/>
  <c r="AF33" i="24"/>
  <c r="AF32" i="24"/>
  <c r="AD25" i="19" l="1"/>
  <c r="V40" i="6"/>
  <c r="V56" i="6"/>
  <c r="AE35" i="24"/>
  <c r="AE22" i="19" s="1"/>
  <c r="AE21" i="19" s="1"/>
  <c r="AG32" i="24"/>
  <c r="C32" i="24" s="1"/>
  <c r="AG33" i="24"/>
  <c r="C33" i="24" s="1"/>
  <c r="AG34" i="24"/>
  <c r="C34" i="24" s="1"/>
  <c r="AE75" i="18"/>
  <c r="AE16" i="19" s="1"/>
  <c r="AE15" i="19" s="1"/>
  <c r="AE25" i="19" l="1"/>
  <c r="W40" i="6"/>
  <c r="W56" i="6"/>
  <c r="AF75" i="18"/>
  <c r="AF16" i="19" s="1"/>
  <c r="AF15" i="19" s="1"/>
  <c r="AF35" i="24"/>
  <c r="AF22" i="19" s="1"/>
  <c r="AF21" i="19" s="1"/>
  <c r="AF25" i="19" l="1"/>
  <c r="X40" i="6"/>
  <c r="X56" i="6"/>
  <c r="AG75" i="18"/>
  <c r="AG35" i="24"/>
  <c r="AG22" i="19" l="1"/>
  <c r="C35" i="24"/>
  <c r="AG16" i="19"/>
  <c r="C75" i="18"/>
  <c r="Y40" i="6"/>
  <c r="Y56" i="6"/>
  <c r="AG15" i="19" l="1"/>
  <c r="C16" i="19"/>
  <c r="AG21" i="19"/>
  <c r="C21" i="19" s="1"/>
  <c r="C22" i="19"/>
  <c r="Z40" i="6"/>
  <c r="Z56" i="6"/>
  <c r="AG25" i="19" l="1"/>
  <c r="C15" i="19"/>
  <c r="AA56" i="6"/>
  <c r="AA40" i="6"/>
  <c r="AB56" i="6" l="1"/>
  <c r="AB40" i="6"/>
  <c r="AC56" i="6" l="1"/>
  <c r="AC40" i="6"/>
  <c r="AD56" i="6" l="1"/>
  <c r="AD40" i="6"/>
  <c r="AE56" i="6" l="1"/>
  <c r="AE40" i="6"/>
  <c r="AF56" i="6" l="1"/>
  <c r="AF40" i="6"/>
  <c r="AG56" i="6" l="1"/>
  <c r="AH56" i="6" s="1"/>
  <c r="AI56" i="6" s="1"/>
  <c r="AJ56" i="6" s="1"/>
  <c r="AK56" i="6" s="1"/>
  <c r="AL56" i="6" s="1"/>
  <c r="AG40" i="6"/>
  <c r="AH40" i="6" s="1"/>
  <c r="AI40" i="6" s="1"/>
  <c r="AJ40" i="6" s="1"/>
  <c r="AK40" i="6" s="1"/>
  <c r="AL40" i="6" s="1"/>
  <c r="D24" i="10"/>
  <c r="D27" i="10" l="1"/>
  <c r="C27" i="10" s="1"/>
  <c r="C24" i="10"/>
  <c r="D26" i="10"/>
  <c r="C26" i="10" s="1"/>
  <c r="D25" i="10"/>
  <c r="C25" i="10" s="1"/>
  <c r="D32" i="10" l="1"/>
  <c r="C32" i="10" s="1"/>
  <c r="D30" i="10"/>
  <c r="C30" i="10" s="1"/>
  <c r="D31" i="10"/>
  <c r="C31" i="10" s="1"/>
  <c r="D33" i="10" l="1"/>
  <c r="C33" i="10" s="1"/>
  <c r="D9" i="19" l="1"/>
  <c r="C9" i="19" l="1"/>
  <c r="D7" i="19"/>
  <c r="D25" i="19" l="1"/>
  <c r="C28" i="19" s="1"/>
  <c r="C7" i="19"/>
  <c r="C29" i="19" l="1"/>
  <c r="C27" i="19"/>
  <c r="C25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Kapustová Zuzana</author>
  </authors>
  <commentList>
    <comment ref="L7" authorId="0" shapeId="0" xr:uid="{A4969A07-A65F-4F22-819B-B490FB32CC73}">
      <text>
        <r>
          <rPr>
            <sz val="9"/>
            <color indexed="81"/>
            <rFont val="Segoe UI"/>
            <family val="2"/>
            <charset val="238"/>
          </rPr>
          <t>Predstavujú prevažne náklady na obnovu interiéru a sú počítané z ceny novej EJ ako10 % obstarávacej ceny 1 EJ, ktorá predstavuje náhradu za HKV+vozne klasickej stavby v adekvátnom počte (Aeer+Bdmpeer).</t>
        </r>
      </text>
    </comment>
    <comment ref="V7" authorId="0" shapeId="0" xr:uid="{D3525316-5053-40DE-B39F-D21031FE3CD2}">
      <text>
        <r>
          <rPr>
            <sz val="9"/>
            <color indexed="81"/>
            <rFont val="Segoe UI"/>
            <family val="2"/>
            <charset val="238"/>
          </rPr>
          <t>Predstavujú prevažne náklady na obnovu iných technologických celkov (trakčný reťazec, podvozok, technológia) a sú počítané z ceny novej EJ ako 25 % obstarávacej ceny 1 EJ, ktorá predstavuje náhradu za HKV+vozne klasickej stavby v adekvátnom počte (Aeer+Bdmpeer).</t>
        </r>
      </text>
    </comment>
    <comment ref="AF7" authorId="0" shapeId="0" xr:uid="{A88392F4-D094-4511-BA31-378E5E7892D2}">
      <text>
        <r>
          <rPr>
            <sz val="9"/>
            <color indexed="81"/>
            <rFont val="Segoe UI"/>
            <family val="2"/>
            <charset val="238"/>
          </rPr>
          <t>Predstavujú prevažne náklady na obnovu interiéru a sú počítané z ceny novej EJ ako10 % obstarávacej ceny 1 EJ, ktorá predstavuje náhradu za HKV+vozne klasickej stavby v adekvátnom počte (Aeer+Bdmpeer).</t>
        </r>
      </text>
    </comment>
    <comment ref="X11" authorId="0" shapeId="0" xr:uid="{92FB58A9-51D8-4727-9266-4A61DAD1A520}">
      <text>
        <r>
          <rPr>
            <sz val="9"/>
            <color indexed="81"/>
            <rFont val="Segoe UI"/>
            <family val="2"/>
            <charset val="238"/>
          </rPr>
          <t xml:space="preserve">Náklady na obnovu interiéru po cca 20 rokoch. </t>
        </r>
      </text>
    </comment>
    <comment ref="AH11" authorId="0" shapeId="0" xr:uid="{300EB228-5C43-4715-9C6D-B0D163AFBBDE}">
      <text>
        <r>
          <rPr>
            <sz val="9"/>
            <color indexed="81"/>
            <rFont val="Segoe UI"/>
            <family val="2"/>
            <charset val="238"/>
          </rPr>
          <t>Náklady na obnovu iných technologických komponentov (trakčný reťazec, podvozok, technológia).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Kapustová Zuzana</author>
  </authors>
  <commentList>
    <comment ref="G44" authorId="0" shapeId="0" xr:uid="{A9ACB915-CAB0-4079-B7EE-C942701F2BC5}">
      <text>
        <r>
          <rPr>
            <sz val="9"/>
            <color indexed="81"/>
            <rFont val="Segoe UI"/>
            <family val="2"/>
            <charset val="238"/>
          </rPr>
          <t xml:space="preserve">Použitá priemerná spotreba ŽKV r.561 - 11,9 kWh/vlkm.
</t>
        </r>
      </text>
    </comment>
  </commentList>
</comments>
</file>

<file path=xl/sharedStrings.xml><?xml version="1.0" encoding="utf-8"?>
<sst xmlns="http://schemas.openxmlformats.org/spreadsheetml/2006/main" count="1433" uniqueCount="722">
  <si>
    <t>EUR</t>
  </si>
  <si>
    <t>B/C</t>
  </si>
  <si>
    <t>Pozn.:</t>
  </si>
  <si>
    <t xml:space="preserve">Diskontná sadzba (finančná) </t>
  </si>
  <si>
    <t>Diskontná sadzba (ekonomická)</t>
  </si>
  <si>
    <t>Cenová úroveň</t>
  </si>
  <si>
    <t>Mena</t>
  </si>
  <si>
    <t>Fiškálne konverzné faktory</t>
  </si>
  <si>
    <t>stále ceny</t>
  </si>
  <si>
    <t>Celkom</t>
  </si>
  <si>
    <t>Rok</t>
  </si>
  <si>
    <t>Celkové príjmy</t>
  </si>
  <si>
    <t>Prevádzkové náklady</t>
  </si>
  <si>
    <t>Príjmy</t>
  </si>
  <si>
    <t>Investičné náklady</t>
  </si>
  <si>
    <t>5.1 Výpočet finančnej medzery</t>
  </si>
  <si>
    <t>Zostatková hodnota</t>
  </si>
  <si>
    <t>Pomer spolufinancovania</t>
  </si>
  <si>
    <t>5.2 Príspevok Spoločenstva (EÚ)</t>
  </si>
  <si>
    <t>Príspevok Spoločenstva (EÚ)</t>
  </si>
  <si>
    <t>Finančná čistá súčasná hodnota investície (FRR_C)</t>
  </si>
  <si>
    <t>Finančné vnútorné výnosové percento investície  (FIRR_C)</t>
  </si>
  <si>
    <t>Finančná čistá súčasná hodnota kapitálu (FNPV_K)</t>
  </si>
  <si>
    <t>Finančné vnútorné výnosové percento kapitálu (FIRR_K)</t>
  </si>
  <si>
    <t>6.1 Finančná čistá súčasná hodnota investície  (FRR_C)</t>
  </si>
  <si>
    <t>6.2 Finančná čistá súčasná hodnota kapitálu  (FNPV_K)</t>
  </si>
  <si>
    <t>Celkové výdavky</t>
  </si>
  <si>
    <t>Kumulovaný čistý peňažný tok</t>
  </si>
  <si>
    <t>Nediskontované</t>
  </si>
  <si>
    <t>Diskontované</t>
  </si>
  <si>
    <t>Životnosť (vrátane výmeny)</t>
  </si>
  <si>
    <t>Nevyhnutnosť výmeny</t>
  </si>
  <si>
    <t>Zostávajúca životnosť v %*</t>
  </si>
  <si>
    <t>BEZ PROJEKTU</t>
  </si>
  <si>
    <t>S PROJEKTOM</t>
  </si>
  <si>
    <t xml:space="preserve">Celkom </t>
  </si>
  <si>
    <t>Celkom (diskontované)</t>
  </si>
  <si>
    <t>Rast HDP (%)</t>
  </si>
  <si>
    <t>1.2 Investičné náklady (EUR) - ekonomické</t>
  </si>
  <si>
    <t>Peňažné toky</t>
  </si>
  <si>
    <t>Čisté peňažné toky</t>
  </si>
  <si>
    <t>Ekonomická čistá súčasná hodnota investície (ENPV)</t>
  </si>
  <si>
    <t>Ekonomická vnútorná miera návratnosti (EIRR)</t>
  </si>
  <si>
    <t>Inkrementálne (PRÍRASTKOVÉ)</t>
  </si>
  <si>
    <t>Rezerva na nepredvídané výdavky</t>
  </si>
  <si>
    <t>Celkové investičné náklady</t>
  </si>
  <si>
    <t>Všeobecné parametre</t>
  </si>
  <si>
    <t>Celkové peňažné toky</t>
  </si>
  <si>
    <t>Iné služby (Technická pomoc, Publicita, Externé riadenie)</t>
  </si>
  <si>
    <t>DPH</t>
  </si>
  <si>
    <t>3.1 Prevádzkové výdavky</t>
  </si>
  <si>
    <t>Celkové prevádzkové výdavky</t>
  </si>
  <si>
    <t>Celkové iné špecifické prevádzkové výdavky</t>
  </si>
  <si>
    <t>Iné príjmy</t>
  </si>
  <si>
    <t>Iné špecifické výdavky</t>
  </si>
  <si>
    <t>3.2 Prevádzkové výdavky</t>
  </si>
  <si>
    <t>3.3  Prevádzkové výdavky</t>
  </si>
  <si>
    <t>Prevádzkové výdavky</t>
  </si>
  <si>
    <t>Investičné výdavky</t>
  </si>
  <si>
    <t>Úspora celkom</t>
  </si>
  <si>
    <t>Smrteľné zranenie</t>
  </si>
  <si>
    <t>Ťažké zranenie</t>
  </si>
  <si>
    <t>Ľahké zranenie</t>
  </si>
  <si>
    <t>Úspora</t>
  </si>
  <si>
    <t>Obdobie prevádzky v rámci referenčného obdobia</t>
  </si>
  <si>
    <t>Personálne výdavky</t>
  </si>
  <si>
    <t>Materiál a ostané zdroje</t>
  </si>
  <si>
    <t>Rozdelenie cestovania podľa účelu cesty</t>
  </si>
  <si>
    <t>Dochádzanie 
do práce</t>
  </si>
  <si>
    <t>Iné (súkromné)</t>
  </si>
  <si>
    <t>Mestská hromadná doprava</t>
  </si>
  <si>
    <t>Príručka CBA, Tabuľka 25</t>
  </si>
  <si>
    <t>Príručka CBA, Tabuľka 23</t>
  </si>
  <si>
    <t>Autobusy</t>
  </si>
  <si>
    <t>Príručka CBA, Tabuľka 26</t>
  </si>
  <si>
    <t>Typ pozemnej komunikácie</t>
  </si>
  <si>
    <t>finančná</t>
  </si>
  <si>
    <t>ekonomická</t>
  </si>
  <si>
    <t xml:space="preserve"> - Základné číslovanie hárkov je potrebné dodržať, avšak pre výpočet hodnôt je možné prídávať pomocné hárky (napr. pre výpočet ocenenia času sa pridá hárok 07-A Ocenenie času a pod.)</t>
  </si>
  <si>
    <t>Očakávaný rast HDP (%)</t>
  </si>
  <si>
    <t>nový tunel</t>
  </si>
  <si>
    <t>existujúca cesta s potrebou rekonštrukcie (asfaltový povrch)</t>
  </si>
  <si>
    <t>existujúca cesta s potrebou rekonštrukcie (betónový povrch)</t>
  </si>
  <si>
    <t>existujúci most (stavebný stav 5 a horšie)</t>
  </si>
  <si>
    <t>pôvodná cesta s potrebou rekonštrukcie odľahčená (asfaltový povrch)</t>
  </si>
  <si>
    <t>pôvodná cesta s potrebou rekonštrukcie odľahčená (betónový povrch)</t>
  </si>
  <si>
    <t>nová cesta alebo existujúca cesta v dobrom stave (asfaltový povrch)</t>
  </si>
  <si>
    <t>nová cesta alebo existujúca cesta v dobrom stave (betónový povrch)</t>
  </si>
  <si>
    <t>Stavebný objekt</t>
  </si>
  <si>
    <t>EUR/m²/rok</t>
  </si>
  <si>
    <t>! JC sa aplikujú pre každý rok prevádzky projektu v rámci referenčného obdobia</t>
  </si>
  <si>
    <t>Kategória vozidla</t>
  </si>
  <si>
    <t>Pohonné hmoty - Nafta</t>
  </si>
  <si>
    <t>Pohonné hmoty - Benzín</t>
  </si>
  <si>
    <t>Agregovaný fiškálny konverzný faktor</t>
  </si>
  <si>
    <t>! Pri použití konverzných faktorov je potrebné rozdeliť investičné a prevádzkové výdavky podľa výrobných faktorov</t>
  </si>
  <si>
    <t>(personálne výdavky XY%, pohonné hmoty - nafta XY%, pohonné hmoty - benzín XY%, materiál a ostatné zdroje XY%, SPOLU 100%)</t>
  </si>
  <si>
    <t>! Agregovaný konverzný faktor je možné aplikovať priamo na stanovené investičné a prevádzkové výdavky</t>
  </si>
  <si>
    <t>Priemerná obsadenosť cestných vozidiel v osobnej doprave</t>
  </si>
  <si>
    <t>Autobus (nie MHD)</t>
  </si>
  <si>
    <t>Osobné autá (vrátane motocyklov)</t>
  </si>
  <si>
    <t>Vlaky</t>
  </si>
  <si>
    <t>Dochádzanie do práce</t>
  </si>
  <si>
    <t>Súkromné cesty</t>
  </si>
  <si>
    <t>Hodnota času cestovania v EUR</t>
  </si>
  <si>
    <t>Rýchlosti</t>
  </si>
  <si>
    <t>Osobné vozidlá (benzín)</t>
  </si>
  <si>
    <t>Osobné vozidlá (nafta)</t>
  </si>
  <si>
    <t>Benzín</t>
  </si>
  <si>
    <t>Nafta</t>
  </si>
  <si>
    <t>Priemerná spotreba pohonných hmôt v závislosti od kategórie vozidla a rýchlosti v litroch/km</t>
  </si>
  <si>
    <t>Rýchlostné obmedzenie</t>
  </si>
  <si>
    <t>JC pohonných hmôt pre použitie v ekonomickej analýze</t>
  </si>
  <si>
    <t>!JC sa neeskalujú a neupravujú o rast HDP</t>
  </si>
  <si>
    <t>EUR/km</t>
  </si>
  <si>
    <t>EUR/hod.</t>
  </si>
  <si>
    <t>Relatívna miera bezpečnosti navrhovanej pozemnej komunikácie podľa typu a podľa kategórie zranenia na 100 miliónov vozidlových km</t>
  </si>
  <si>
    <t>1+1, obchvaty miest a obcí v extraviláne
(2-pruh, prevažujú mimoúrovňové a okružné križovatky, max. 90 km/h)</t>
  </si>
  <si>
    <t>1+2 resp. 2+1, cesty v extraviláne
(3-pruh alebo prídavný pruh pre pomalé vozidlá, max. 90 km/h)</t>
  </si>
  <si>
    <t>2+2, cesty v extraviláne smerovo nerozdelené
(4-pruh, úrovňové stykové križovatky, max 100 km/h)</t>
  </si>
  <si>
    <t>2+2, cesty v extraviláne smerovo rozdelené
(4-pruh, mimoúrovňové križovatky, max 100 km/h)</t>
  </si>
  <si>
    <t>1+1 rýchlostné cesty/diaľnice v polovičnom profile
(2-pruh, 80-100 km/h)</t>
  </si>
  <si>
    <t>2+2 rýchlostné cesty v plnom profile
(4-pruh, max. 130 km/h)</t>
  </si>
  <si>
    <t>2+2 diaľnice v plnom profile
(4-pruh, max. 130 km/h)</t>
  </si>
  <si>
    <t>!Hodnoty už sú upravené o korekčné faktory pre neohlásené dopravné nehody</t>
  </si>
  <si>
    <t>Jednotkové náklady plynúce z dopravných nehôd, podľa kategórie zranenia v EUR</t>
  </si>
  <si>
    <t>Údaje o hustote jednotlivých palív</t>
  </si>
  <si>
    <t>Zemný plyn</t>
  </si>
  <si>
    <t>kg/liter</t>
  </si>
  <si>
    <t>Hodnota</t>
  </si>
  <si>
    <t>Jednotka</t>
  </si>
  <si>
    <t>kg/m3</t>
  </si>
  <si>
    <t>NMVOC</t>
  </si>
  <si>
    <r>
      <t>PM</t>
    </r>
    <r>
      <rPr>
        <vertAlign val="subscript"/>
        <sz val="8"/>
        <rFont val="Arial"/>
        <family val="2"/>
        <charset val="238"/>
      </rPr>
      <t>2,5</t>
    </r>
  </si>
  <si>
    <r>
      <t>NO</t>
    </r>
    <r>
      <rPr>
        <vertAlign val="subscript"/>
        <sz val="8"/>
        <rFont val="Arial"/>
        <family val="2"/>
        <charset val="238"/>
      </rPr>
      <t>X</t>
    </r>
  </si>
  <si>
    <r>
      <t>SO</t>
    </r>
    <r>
      <rPr>
        <vertAlign val="subscript"/>
        <sz val="8"/>
        <rFont val="Arial"/>
        <family val="2"/>
        <charset val="238"/>
      </rPr>
      <t>2</t>
    </r>
  </si>
  <si>
    <r>
      <t>NH</t>
    </r>
    <r>
      <rPr>
        <vertAlign val="subscript"/>
        <sz val="8"/>
        <rFont val="Arial"/>
        <family val="2"/>
        <charset val="238"/>
      </rPr>
      <t>3</t>
    </r>
  </si>
  <si>
    <t>Autobusy (nafta)</t>
  </si>
  <si>
    <t>Náklady znečisťujúcich látok z dopravy (EUR/kg) podľa typu látky a územia</t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</si>
  <si>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</rPr>
      <t xml:space="preserve"> - Extravilán, intravilány obcí a miest</t>
    </r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</si>
  <si>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</rPr>
      <t xml:space="preserve"> - Centrum miest</t>
    </r>
  </si>
  <si>
    <t>NMVOC - Všetky územia</t>
  </si>
  <si>
    <r>
      <t>NH</t>
    </r>
    <r>
      <rPr>
        <vertAlign val="subscript"/>
        <sz val="8"/>
        <rFont val="Arial"/>
        <family val="2"/>
        <charset val="238"/>
      </rPr>
      <t>3</t>
    </r>
    <r>
      <rPr>
        <sz val="8"/>
        <rFont val="Arial"/>
        <family val="2"/>
      </rPr>
      <t xml:space="preserve"> - Všetky územia</t>
    </r>
  </si>
  <si>
    <r>
      <t>SO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</rPr>
      <t xml:space="preserve"> - Všetky územia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</si>
  <si>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</rPr>
      <t xml:space="preserve"> - Centrum miest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</si>
  <si>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</rPr>
      <t xml:space="preserve"> - Extravilán, intravilány obcí a miest</t>
    </r>
  </si>
  <si>
    <t>Služobné cesty</t>
  </si>
  <si>
    <t>Emisné faktory znečisťujúcich látok pre cestné vozidlá (g/kg)</t>
  </si>
  <si>
    <t>Emisné faktory skleníkových plynov pre cestné vozidlá (g/kg)</t>
  </si>
  <si>
    <r>
      <t>CO</t>
    </r>
    <r>
      <rPr>
        <vertAlign val="subscript"/>
        <sz val="8"/>
        <rFont val="Arial"/>
        <family val="2"/>
        <charset val="238"/>
      </rPr>
      <t>2</t>
    </r>
  </si>
  <si>
    <r>
      <t>CH</t>
    </r>
    <r>
      <rPr>
        <vertAlign val="subscript"/>
        <sz val="8"/>
        <rFont val="Arial"/>
        <family val="2"/>
        <charset val="238"/>
      </rPr>
      <t>4</t>
    </r>
  </si>
  <si>
    <r>
      <t>N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O</t>
    </r>
  </si>
  <si>
    <r>
      <t>CO</t>
    </r>
    <r>
      <rPr>
        <vertAlign val="sub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</rPr>
      <t>e</t>
    </r>
  </si>
  <si>
    <t>Jednotková cena tony CO2e</t>
  </si>
  <si>
    <t>Jednotkové náklady hluku (v EUR na vozidlový kilometer) podľa kategórie vozidla a územia</t>
  </si>
  <si>
    <t>Osobné vozidlá - centrum mesta</t>
  </si>
  <si>
    <t>Autobusy- centrum mesta</t>
  </si>
  <si>
    <t>Osobné vozidlá - intravilán mesta</t>
  </si>
  <si>
    <t>Autobusy - intravilán mesta</t>
  </si>
  <si>
    <t>Osobné vozidlá - intravilán obce</t>
  </si>
  <si>
    <t>Autobusy - intravilán obce</t>
  </si>
  <si>
    <t>Príručka CBA, tabuľka 42</t>
  </si>
  <si>
    <t>Iné služby</t>
  </si>
  <si>
    <t>Rezerva na nepredvídateľné výdavky</t>
  </si>
  <si>
    <r>
      <t xml:space="preserve">Použitý konverzný faktor: </t>
    </r>
    <r>
      <rPr>
        <b/>
        <sz val="8"/>
        <rFont val="Arial"/>
        <family val="2"/>
        <charset val="238"/>
      </rPr>
      <t>agregovaný</t>
    </r>
  </si>
  <si>
    <t>(spracovateľ môže stanoviť odlišné konverzné faktory na základe rôznej miery zastúpenia výrobných faktorov na investícií)</t>
  </si>
  <si>
    <t>1.1 Investičné výdavky (EUR) - finančné</t>
  </si>
  <si>
    <t>Celkové investičné výdavky vrátane DPH</t>
  </si>
  <si>
    <t>Oprávnené investičné výdavky</t>
  </si>
  <si>
    <t>Neoprávnené investičné výdavky</t>
  </si>
  <si>
    <t>Prevádzkové príjmy</t>
  </si>
  <si>
    <t>Suma v rozhodnutí (NFP)</t>
  </si>
  <si>
    <t>Časový horizont (referenčné obdobie)</t>
  </si>
  <si>
    <t>Začiatočný rok referenčného obdobia</t>
  </si>
  <si>
    <t>Posledný rok referenčného obdobia</t>
  </si>
  <si>
    <t>3.4 Prevádzkové náklady (ekonomické)</t>
  </si>
  <si>
    <t>Iné špecifické náklady</t>
  </si>
  <si>
    <t>Celkové iné špecifické prevádzkové náklady</t>
  </si>
  <si>
    <t>Celkové prevádzkové náklady</t>
  </si>
  <si>
    <t>(diskontované)</t>
  </si>
  <si>
    <t>Vlastné financovanie investície</t>
  </si>
  <si>
    <t>Splátky úverov (vrátane úrokov)</t>
  </si>
  <si>
    <t>6.3 Finančná udržateľnosť (prírastková)</t>
  </si>
  <si>
    <t>z toho: Príspevok z fondov EÚ</t>
  </si>
  <si>
    <t>z toho: Verejné zdroje SR</t>
  </si>
  <si>
    <t>! Bez DPH, bez rezervy, bez cenových úprav (valorizácia)</t>
  </si>
  <si>
    <t>Celkové investičné výdavky</t>
  </si>
  <si>
    <t>Celkové finančné zdroje</t>
  </si>
  <si>
    <t>Splátky úverov (vrátane úrokov)*</t>
  </si>
  <si>
    <t>Prevádzková dotácia</t>
  </si>
  <si>
    <t>Upravený kumulovaný čistý peňažný tok</t>
  </si>
  <si>
    <t>Prevádzkové výdavky (iba s projektom)</t>
  </si>
  <si>
    <t>Prevádzkové príjmy (iba s projektom)</t>
  </si>
  <si>
    <t>6.4 Finančná udržateľnosť (absolútna pre projektový scenár)</t>
  </si>
  <si>
    <t>Úspora času, z toho:</t>
  </si>
  <si>
    <t>Úspora času v peňažnom vyjadrení (v EUR)</t>
  </si>
  <si>
    <t>Služobná cesta</t>
  </si>
  <si>
    <t>4.1 Príjmy</t>
  </si>
  <si>
    <t>4.2 Príjmy</t>
  </si>
  <si>
    <t>4.3 Príjmy</t>
  </si>
  <si>
    <t>PRÍRASTKOVÉ</t>
  </si>
  <si>
    <t>Čas cestujúcich</t>
  </si>
  <si>
    <t>Znečisťujúce látky</t>
  </si>
  <si>
    <t>Skleníkové plyny</t>
  </si>
  <si>
    <t>Hluk</t>
  </si>
  <si>
    <t>Výjazd z intravilánu</t>
  </si>
  <si>
    <t>Okružná križovatka mimo obce</t>
  </si>
  <si>
    <t>Križovatka so zastavením v obci</t>
  </si>
  <si>
    <t>Križovatka so zastavením mimo obce</t>
  </si>
  <si>
    <t>Pripojenie na D/RC</t>
  </si>
  <si>
    <t>Okružná križovatka v obci</t>
  </si>
  <si>
    <t>D</t>
  </si>
  <si>
    <t>Čistý príjem (DNR)</t>
  </si>
  <si>
    <t>Investičné výdavky (DIC)</t>
  </si>
  <si>
    <t>Investičné výdavky - Čistý príjem (Max EE)</t>
  </si>
  <si>
    <t>Finančná medzera (FG)</t>
  </si>
  <si>
    <t>*doplniť splátky úveru (istina+úroky) ak relevantné</t>
  </si>
  <si>
    <t>pre účely Žiadosti o poskytnutie NFP</t>
  </si>
  <si>
    <t>Typ vozidla</t>
  </si>
  <si>
    <t>EUR/vlkm</t>
  </si>
  <si>
    <t>EUR/vlhod.</t>
  </si>
  <si>
    <t>Trakcia</t>
  </si>
  <si>
    <t>EL</t>
  </si>
  <si>
    <t>Poschodová jednotka</t>
  </si>
  <si>
    <t>Súprava typu Push-pull</t>
  </si>
  <si>
    <t xml:space="preserve">D </t>
  </si>
  <si>
    <t>Motorová jednotka</t>
  </si>
  <si>
    <t>Trakčná nafta</t>
  </si>
  <si>
    <t>liter/vlkm</t>
  </si>
  <si>
    <t>-</t>
  </si>
  <si>
    <t>Trakčná elektrina</t>
  </si>
  <si>
    <t>kWh/vlkm</t>
  </si>
  <si>
    <t>Rýchliková súprava</t>
  </si>
  <si>
    <t>Súprava Osobný vlak</t>
  </si>
  <si>
    <t>Priemerná spotreba osobných železničných koľajových vozidiel</t>
  </si>
  <si>
    <t>Príručka CBA, Tabuľka 33</t>
  </si>
  <si>
    <t>Emisné faktory znečisťujúcich látok pre železničné koľajové vozidlá (g/kg)</t>
  </si>
  <si>
    <t>Traťová lokomotíva</t>
  </si>
  <si>
    <t>Posunovacia lokomotíva</t>
  </si>
  <si>
    <r>
      <t>PM</t>
    </r>
    <r>
      <rPr>
        <b/>
        <vertAlign val="subscript"/>
        <sz val="8"/>
        <rFont val="Arial"/>
        <family val="2"/>
        <charset val="238"/>
      </rPr>
      <t>2,5</t>
    </r>
  </si>
  <si>
    <r>
      <t>NO</t>
    </r>
    <r>
      <rPr>
        <b/>
        <vertAlign val="subscript"/>
        <sz val="8"/>
        <rFont val="Arial"/>
        <family val="2"/>
        <charset val="238"/>
      </rPr>
      <t>X</t>
    </r>
  </si>
  <si>
    <r>
      <t>SO</t>
    </r>
    <r>
      <rPr>
        <b/>
        <vertAlign val="subscript"/>
        <sz val="8"/>
        <rFont val="Arial"/>
        <family val="2"/>
        <charset val="238"/>
      </rPr>
      <t>2</t>
    </r>
  </si>
  <si>
    <r>
      <t>NH</t>
    </r>
    <r>
      <rPr>
        <b/>
        <vertAlign val="subscript"/>
        <sz val="8"/>
        <rFont val="Arial"/>
        <family val="2"/>
        <charset val="238"/>
      </rPr>
      <t>3</t>
    </r>
  </si>
  <si>
    <t>Emisné faktory skleníkových plynov železničných koľajových vozidiel (tradičné palivá) (g/kg)</t>
  </si>
  <si>
    <r>
      <t>CO</t>
    </r>
    <r>
      <rPr>
        <b/>
        <vertAlign val="subscript"/>
        <sz val="8"/>
        <rFont val="Arial"/>
        <family val="2"/>
        <charset val="238"/>
      </rPr>
      <t>2</t>
    </r>
  </si>
  <si>
    <r>
      <t>CH</t>
    </r>
    <r>
      <rPr>
        <b/>
        <vertAlign val="subscript"/>
        <sz val="8"/>
        <rFont val="Arial"/>
        <family val="2"/>
        <charset val="238"/>
      </rPr>
      <t>4</t>
    </r>
  </si>
  <si>
    <r>
      <t>N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O</t>
    </r>
  </si>
  <si>
    <t>Sieť vysokého napätia (VN)</t>
  </si>
  <si>
    <t>Sieť stredného napätia (SN)</t>
  </si>
  <si>
    <t>Sieť nízkeho napätia (NN)</t>
  </si>
  <si>
    <t>Emisné faktory (gCO2/kWh) spotreby elektrickej energie</t>
  </si>
  <si>
    <r>
      <t>Konverzné faktory pre CO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e</t>
    </r>
  </si>
  <si>
    <t>Osobný vlak - centrum mesta</t>
  </si>
  <si>
    <t>Osobný vlak - intravilán mesta</t>
  </si>
  <si>
    <t>Osobný vlak - intravilán obce</t>
  </si>
  <si>
    <t>Parametre pre kvantifikáciu nerealizovaných nákladov plynúcich z cestnej dopravy v prípade "modal shift"</t>
  </si>
  <si>
    <t xml:space="preserve">Úspora spotreby celkom </t>
  </si>
  <si>
    <t>Použil sa emisný faktor pre sieť stredného napätia, je možné upraviť</t>
  </si>
  <si>
    <t>Rok začiatku</t>
  </si>
  <si>
    <t>Rok dodania</t>
  </si>
  <si>
    <t>Mzdy personálu</t>
  </si>
  <si>
    <t>Diaľková doprava</t>
  </si>
  <si>
    <t>Regionálna doprava</t>
  </si>
  <si>
    <t>Doprava celkom</t>
  </si>
  <si>
    <t>Osobná železničná doprava - príjmy z cestovného</t>
  </si>
  <si>
    <t>Sadzba v EUR/osobokilometer</t>
  </si>
  <si>
    <t>*</t>
  </si>
  <si>
    <t>Vozidlá</t>
  </si>
  <si>
    <t>Výdavky súvisiace so štúdiami, publicita, externé riadenie a technická pomoc a pod.;</t>
  </si>
  <si>
    <t>Životnosť v rokoch*</t>
  </si>
  <si>
    <t>* životnosť je možné upraviť podľa údajov od dodávateľa</t>
  </si>
  <si>
    <t>Celkové prevádzkové výdavky na údržbu vozidiel</t>
  </si>
  <si>
    <t>Výmeny/Obnovy/Generálne opravy</t>
  </si>
  <si>
    <t>Celkové prevádzkové náklady na údržbu vozidiel</t>
  </si>
  <si>
    <t>Prevádzkové výdavky vozidiel</t>
  </si>
  <si>
    <t>Príjmy z cestovného</t>
  </si>
  <si>
    <t>Celkom úspora času cestujúcich v peňažnom vyjadrení</t>
  </si>
  <si>
    <t>Motorové jednotky</t>
  </si>
  <si>
    <t>Dieselové súpravy</t>
  </si>
  <si>
    <t>Hárok relevantný, ak sú v scenári BEZ PROJEKTU alebo S PROJEKTOM zahrnuté vozidlá na naftový pohon</t>
  </si>
  <si>
    <t>Súprava typu push-pull</t>
  </si>
  <si>
    <t>Centrum mesta</t>
  </si>
  <si>
    <t>Intravilán mesta</t>
  </si>
  <si>
    <t>Intravilán obce</t>
  </si>
  <si>
    <t>Úspora celkom v peňažnom vyjadrení</t>
  </si>
  <si>
    <t xml:space="preserve">Od roku </t>
  </si>
  <si>
    <t>je projekt v prevádzke, až od tohto roku je potrebné zohľadniť rozdielne vstupy pre scenár BEZ PROJEKTU a scenár S PROJEKTOM</t>
  </si>
  <si>
    <t xml:space="preserve"> - Pre účely kvantifikácie citlivosti a rizika sa pridajú ďalšie hárky s príslušným označením</t>
  </si>
  <si>
    <t xml:space="preserve"> - Bunky, do ktorých je požadované vloženie vstupných dát od spracovateľa CBA sú zvýraznené modrou farbou </t>
  </si>
  <si>
    <t>Úspora znečisťujúcich látok celkom</t>
  </si>
  <si>
    <t>(môže byť modifikované v prípade dodania na etapy)</t>
  </si>
  <si>
    <r>
      <t xml:space="preserve"> - Spracovateľ je povinný doplniť aj údaje do </t>
    </r>
    <r>
      <rPr>
        <sz val="8"/>
        <color rgb="FF3399FF"/>
        <rFont val="Arial"/>
        <family val="2"/>
        <charset val="238"/>
      </rPr>
      <t>modro-vyznačených hárkov</t>
    </r>
    <r>
      <rPr>
        <sz val="8"/>
        <rFont val="Arial"/>
        <family val="2"/>
        <charset val="238"/>
      </rPr>
      <t xml:space="preserve"> podľa pokynov v nich uvedených</t>
    </r>
  </si>
  <si>
    <t>Oprávnené výdavky (investičné)</t>
  </si>
  <si>
    <t>Oprávnené výdavky (interné riadenie)</t>
  </si>
  <si>
    <t>Oprávnené výdavky SPOLU</t>
  </si>
  <si>
    <t>ak oprávnené v rámci predloženej ŽoNFP</t>
  </si>
  <si>
    <t>Počet rokov na dodanie vozidiel</t>
  </si>
  <si>
    <t>Maximálny počet rokov prevádzky vozidiel</t>
  </si>
  <si>
    <t>Základné výdavky</t>
  </si>
  <si>
    <t>Merná jednotka</t>
  </si>
  <si>
    <t>Priemerné prevádzkové výdavky na osobné železničné koľajové vozidlá</t>
  </si>
  <si>
    <t>Elektrina</t>
  </si>
  <si>
    <t>Príručka CBA, časť 4.2.1</t>
  </si>
  <si>
    <t>Príručka CBA, Tabuľka 27</t>
  </si>
  <si>
    <t>Váhy (koeficienty) pre časovú zložku čakania na dopravu</t>
  </si>
  <si>
    <t>Interval (min.)</t>
  </si>
  <si>
    <t>5 ≥</t>
  </si>
  <si>
    <t xml:space="preserve"> 6-10</t>
  </si>
  <si>
    <t xml:space="preserve"> 11-15</t>
  </si>
  <si>
    <t>16-20</t>
  </si>
  <si>
    <t>21-30</t>
  </si>
  <si>
    <t>31-40</t>
  </si>
  <si>
    <t>41-60</t>
  </si>
  <si>
    <t>61-120</t>
  </si>
  <si>
    <t>121-200</t>
  </si>
  <si>
    <t>201 ≤</t>
  </si>
  <si>
    <t>koeficient</t>
  </si>
  <si>
    <t>krátke cesty, vysoká frekvencia</t>
  </si>
  <si>
    <t>dlhé cesty, nízka frekvencia</t>
  </si>
  <si>
    <t>min.</t>
  </si>
  <si>
    <t>max.</t>
  </si>
  <si>
    <t>Penalizácia za prestup (minúty)</t>
  </si>
  <si>
    <t>Príručka CBA, časť 4.2.2.2</t>
  </si>
  <si>
    <t>Príručka CBA, Tabuľka 39</t>
  </si>
  <si>
    <t>Príručka CBA, tabuľka 43</t>
  </si>
  <si>
    <t>Príručka CBA, časť 4.2.2.6</t>
  </si>
  <si>
    <t>Príručka CBA, tabuľka 45</t>
  </si>
  <si>
    <t>Príručka CBA, tabuľka 46</t>
  </si>
  <si>
    <t>Príručka CBA, časť 4.2.2.7</t>
  </si>
  <si>
    <r>
      <t>CO</t>
    </r>
    <r>
      <rPr>
        <vertAlign val="sub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</rPr>
      <t>e (pre rok 2020 = 111,9 EUR/t v CÚ 2023)</t>
    </r>
  </si>
  <si>
    <t>Príručka CBA, tabuľka 47</t>
  </si>
  <si>
    <t>Priemerné ročné prevádzkové výdavky (diaľnice, rýchlostné cesty, cesty I. triedy) v CÚ 2023</t>
  </si>
  <si>
    <t>! V EA potrebné upraviť o konverzný faktor</t>
  </si>
  <si>
    <t>existujúci most (stavebný stav 3-4)</t>
  </si>
  <si>
    <t>pôvodný most (stavebný stav 5 a horšie) odľahčený</t>
  </si>
  <si>
    <t>pôvodný most (stavebný stav 3-4) odľahčený</t>
  </si>
  <si>
    <t>nový most alebo existujúci most v stavebnom stave 1-2</t>
  </si>
  <si>
    <t>Osobné automobily (mestské prostredie)</t>
  </si>
  <si>
    <t>Osobné automobily (mimo mesta)</t>
  </si>
  <si>
    <t>Príručka CBA, Tabuľka 24</t>
  </si>
  <si>
    <t>Osobné vozidlá (elektrina)</t>
  </si>
  <si>
    <t>Skladba osobných áut podľa typu pohonu</t>
  </si>
  <si>
    <t>Dodatočná spotreba pohonných hmôt v závislosti od kategórie vozidla a rýchlostného obmedzenia v litroch resp. kWh</t>
  </si>
  <si>
    <t>v EUR 
(CÚ 2023)</t>
  </si>
  <si>
    <t>Benzín / liter</t>
  </si>
  <si>
    <t>Nafta / liter</t>
  </si>
  <si>
    <t>Elektrina / kWh</t>
  </si>
  <si>
    <t>Príručka CBA, časť 4.2.2.4</t>
  </si>
  <si>
    <t>Priemerné náklady na prevádzku cestných vozidiel (CÚ 2023)</t>
  </si>
  <si>
    <t>Relatívna miera bezpečnosti existujúcej pozemnej komunikácie podľa typu a podľa kategórie zranenia na 100 miliónov vozidlových km</t>
  </si>
  <si>
    <t>Existujúca cesta</t>
  </si>
  <si>
    <t>extravilán, priemer pre SR</t>
  </si>
  <si>
    <t>intravilán, priemer pre SR</t>
  </si>
  <si>
    <t>extravilán, podpriemerne bezpečná</t>
  </si>
  <si>
    <t>intravilán, podpriemerne bezpečná</t>
  </si>
  <si>
    <t>extravilán, nadpriemerne bezpečná</t>
  </si>
  <si>
    <t>intravilán, nadpriemerne bezpečná</t>
  </si>
  <si>
    <t>Príručka CBA, Tabuľka 37</t>
  </si>
  <si>
    <t>Príručka CBA, Tabuľka 38</t>
  </si>
  <si>
    <t>Príručka CBA, tabuľka 48</t>
  </si>
  <si>
    <t>...</t>
  </si>
  <si>
    <t>Kategória investičných výdavkov*</t>
  </si>
  <si>
    <r>
      <t xml:space="preserve">→ </t>
    </r>
    <r>
      <rPr>
        <sz val="8"/>
        <rFont val="Arial"/>
        <family val="2"/>
        <charset val="238"/>
      </rPr>
      <t>Tieto položky sa vyčísľujú pre účely výpočtu príspevku (spolufinancovanie mimo ŠR), napr. PSK 2021-2027</t>
    </r>
  </si>
  <si>
    <t>Cenové úpravy (valorizácia)</t>
  </si>
  <si>
    <t>Celkové investičné výdavky vrátane rezervy a valorizácie</t>
  </si>
  <si>
    <t>Položka nevstupuje do finančnej/ekonomickej analýzy (okrem hodnotenia ex-post ak relevantné), zvyčajne max. 10% z rozpočtu;</t>
  </si>
  <si>
    <t>Valorizácia</t>
  </si>
  <si>
    <t>Položka nevstupuje do finančnej/ekonomickej analýzy (okrem hodnotenia ex-post ak relevantné), v zmysle platných metodických pokynov.</t>
  </si>
  <si>
    <t>2.2 Výpočet dĺžky referenčného obdobia projektu</t>
  </si>
  <si>
    <t>Životnosť v rokoch</t>
  </si>
  <si>
    <t>Výška investície</t>
  </si>
  <si>
    <t>Váha prvku</t>
  </si>
  <si>
    <t>Vážená priemerná životnosť projektu</t>
  </si>
  <si>
    <t>Dĺžka referenčného obdobia</t>
  </si>
  <si>
    <t>z toho: Úver</t>
  </si>
  <si>
    <t>Pozn.: iba ak relevantné v zmysle dopravného modelu</t>
  </si>
  <si>
    <t>Osobné automobily (benzín)</t>
  </si>
  <si>
    <t>Osobné automobily (nafta)</t>
  </si>
  <si>
    <t>Osobné automobily (elektrina)</t>
  </si>
  <si>
    <t>Celkom benzín</t>
  </si>
  <si>
    <t>Celkom nafta</t>
  </si>
  <si>
    <t>Celkom elektrina</t>
  </si>
  <si>
    <t>9.1 Jazdný čas vozidiel (hodiny)</t>
  </si>
  <si>
    <t>9.2 Jazdný čas vozidiel (hodiny)</t>
  </si>
  <si>
    <t>9.3 Jazdný čas vozidiel (hodiny)</t>
  </si>
  <si>
    <t>9.4 Úspora časovej zložky nákladov na prevádzku v peňažnom vyjadrení (v EUR)</t>
  </si>
  <si>
    <t>9.5 Jazdná vzdialenosť (kilometre)</t>
  </si>
  <si>
    <t>9.6 Jazdná vzdialenosť (kilometre)</t>
  </si>
  <si>
    <t>9.7 Jazdná vzdialenosť (kilometre)</t>
  </si>
  <si>
    <t>9.8 Úspora km zložky nákladov na prevádzku v peňažnom vyjadrení (v EUR)</t>
  </si>
  <si>
    <t>9.9 Úspora ostatných prevádzkových nákladov vozidiel celkom v peňažnom vyjadrení (v EUR)</t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</si>
  <si>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  <charset val="238"/>
      </rPr>
      <t xml:space="preserve"> centrum mesta</t>
    </r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</si>
  <si>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  <charset val="238"/>
      </rPr>
      <t xml:space="preserve"> extravilány, intravilány obcí a miest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</si>
  <si>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  <charset val="238"/>
      </rPr>
      <t xml:space="preserve"> centrum mesta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</si>
  <si>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  <charset val="238"/>
      </rPr>
      <t xml:space="preserve"> extravilány, intravilány obcí a miest</t>
    </r>
  </si>
  <si>
    <r>
      <t>Prepočet úspory na CO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e v kg</t>
    </r>
  </si>
  <si>
    <r>
      <t>Výpočet úspory CO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e v kg</t>
    </r>
  </si>
  <si>
    <r>
      <t>Úspora CO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e celkom v kg za všetky vlaky</t>
    </r>
  </si>
  <si>
    <r>
      <t>CO</t>
    </r>
    <r>
      <rPr>
        <i/>
        <vertAlign val="subscript"/>
        <sz val="8"/>
        <rFont val="Arial"/>
        <family val="2"/>
        <charset val="238"/>
      </rPr>
      <t xml:space="preserve">2 </t>
    </r>
    <r>
      <rPr>
        <i/>
        <sz val="8"/>
        <rFont val="Arial"/>
        <family val="2"/>
        <charset val="238"/>
      </rPr>
      <t>(elektromobilita)</t>
    </r>
  </si>
  <si>
    <r>
      <t>Prepočet úspory na CO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e</t>
    </r>
  </si>
  <si>
    <t>Osobné vozidlá (centrum mesta)</t>
  </si>
  <si>
    <t>Osobné vozidlá (intravilán mesta)</t>
  </si>
  <si>
    <t>Osobné vozidlá (intravilán obce)</t>
  </si>
  <si>
    <t>Autobusy (centrum mesta)</t>
  </si>
  <si>
    <t>Autobusy (intravilán mesta)</t>
  </si>
  <si>
    <t>Autobusy (intravilán obce)</t>
  </si>
  <si>
    <t>existujúci cestujúci (železničná doprava)</t>
  </si>
  <si>
    <t>prevedení cestujúci (cestná doprava)</t>
  </si>
  <si>
    <t>cestujúci v nadväzujúcich úsekoch (železničná doprava)</t>
  </si>
  <si>
    <t xml:space="preserve">Prevádzkové náklady </t>
  </si>
  <si>
    <t>spotreba PHM/E (cestná doprava)</t>
  </si>
  <si>
    <t>ostatné prevádzkové náklady vozidiel (cestná doprava)</t>
  </si>
  <si>
    <t>železničná doprava</t>
  </si>
  <si>
    <t>cestná doprava</t>
  </si>
  <si>
    <t>Bezpečnosť (cestná doprava)</t>
  </si>
  <si>
    <t>S/I</t>
  </si>
  <si>
    <t>10.1 Náklady z dopravných nehôd (v EUR)</t>
  </si>
  <si>
    <t>10.2 Náklady z dopravných nehôd (v EUR)</t>
  </si>
  <si>
    <t>10.3 Náklady z dopravných nehôd (v EUR)</t>
  </si>
  <si>
    <t>8.1 Spotreba PHM/E (litre resp. kWh pre elektrický pohon)</t>
  </si>
  <si>
    <t>8.2 Spotreba PHM/E (litre resp. kWh pre elektrický pohon)</t>
  </si>
  <si>
    <t>8.3 Spotreba PHM/E (litre resp. kWh pre elektrický pohon)</t>
  </si>
  <si>
    <t>8.4 Úspora spotreby PHM/E v peňažnom vyjadrení (v EUR)</t>
  </si>
  <si>
    <t>8.5 Dodatočná spotreba PHM/E (litre resp. kWh pre elektrický pohon)</t>
  </si>
  <si>
    <t>8.6 Dodatočná spotreba PHM/E (litre resp. kWh pre elektrický pohon)</t>
  </si>
  <si>
    <t>8.7 Dodatočná spotreba PHM/E (litre resp. kWh pre elektrický pohon)</t>
  </si>
  <si>
    <t>8.8 Úspora dodatočnej spotreby v peňažnom vyjadrení (v EUR)</t>
  </si>
  <si>
    <t>8.9 Úspora PHM/E celkom v peňažnom vyjadrení (v EUR)</t>
  </si>
  <si>
    <t>8.10 Úspora PHM celkom (kilogramy resp. kWh al. MWh)</t>
  </si>
  <si>
    <t>11.1 Spotreba nafty vlakov (kilogramy)</t>
  </si>
  <si>
    <t>11.2 Spotreba nafty vlakov (kilogramy)</t>
  </si>
  <si>
    <t>11.3 Spotreba nafty vlakov (kilogramy)</t>
  </si>
  <si>
    <t>11.4 Množstvo emitovaných znečisťujúcich látok (kilogramy)</t>
  </si>
  <si>
    <t>11.5 Množstvo emitovaných znečisťujúcich látok (kilogramy)</t>
  </si>
  <si>
    <t>11.6 Množstvo emitovaných znečisťujúcich látok (kilogramy)</t>
  </si>
  <si>
    <t>11.7 Úspora emitovaných znečisťujúcich látok v peňažnom vyjadrení (EUR)</t>
  </si>
  <si>
    <t>11.1 Množstvo emitovaných znečisťujúcich látok (kilogramy)</t>
  </si>
  <si>
    <t>11.2 Množstvo emitovaných znečisťujúcich látok (kilogramy)</t>
  </si>
  <si>
    <t>11.3 Množstvo emitovaných znečisťujúcich látok (kilogramy)</t>
  </si>
  <si>
    <t>11.4 Úspora emitovaných znečisťujúcich látok v peňažnom vyjadrení (EUR)</t>
  </si>
  <si>
    <t>12.1 Množstvo emitovaných skleníkových plynov naftových vlakov (kilogramy)</t>
  </si>
  <si>
    <t>12.2 Množstvo emitovaných skleníkových plynov naftových vlakov (kilogramy)</t>
  </si>
  <si>
    <t>12.3 Množstvo emitovaných skleníkových plynov naftových vlakov (kilogramy)</t>
  </si>
  <si>
    <t>12.4 Spotreba elektrických vlakov (kWh)</t>
  </si>
  <si>
    <t>12.5 Spotreba elektrických vlakov (kWh)</t>
  </si>
  <si>
    <t>12.6 Spotreba elektrických vlakov (kWh)</t>
  </si>
  <si>
    <t>12.7 Úspora emitovaných skleníkových plynov v peňažnom vyjadrení (EUR)</t>
  </si>
  <si>
    <t>12.1 Množstvo emitovaných skleníkových plynov (kilogramy)</t>
  </si>
  <si>
    <t>12.2 Množstvo emitovaných skleníkových plynov (kilogramy)</t>
  </si>
  <si>
    <t>12.3 Množstvo emitovaných skleníkových plynov (kilogramy)</t>
  </si>
  <si>
    <t>12.4 Úspora emitovaných skleníkových plynov v peňažnom vyjadrení (EUR)</t>
  </si>
  <si>
    <t>13.1 Jazdná vzdialenosť (vlakové kilometre)</t>
  </si>
  <si>
    <t>13.2 Jazdná vzdialenosť (vlakové kilometre)</t>
  </si>
  <si>
    <t>13.3 Jazdná vzdialenosť (vlakové kilometre)</t>
  </si>
  <si>
    <t>13.4 Úspora nákladov z hluku peňažnom vyjadrení (EUR)</t>
  </si>
  <si>
    <t>13.1 Jazdná vzdialenosť (kilometre)</t>
  </si>
  <si>
    <t>13.2 Jazdná vzdialenosť (kilometre)</t>
  </si>
  <si>
    <t>13.3 Jazdná vzdialenosť (kilometre)</t>
  </si>
  <si>
    <t>14.1 Ekonomická analýza (vplyv na blahobyt spoločnosti)</t>
  </si>
  <si>
    <t>Hrubá skriňa</t>
  </si>
  <si>
    <t>Podvozok</t>
  </si>
  <si>
    <t>Trakčný reťazec</t>
  </si>
  <si>
    <t>Technológia</t>
  </si>
  <si>
    <t>Interiér</t>
  </si>
  <si>
    <t>→</t>
  </si>
  <si>
    <t>krát počas referenčného obdobia</t>
  </si>
  <si>
    <t>Prvok vozidla</t>
  </si>
  <si>
    <t>Relevantný prvok vozidla</t>
  </si>
  <si>
    <t>Príručka CBA, Tabuľka 20</t>
  </si>
  <si>
    <t>Príručka CBA, Tabuľka 28</t>
  </si>
  <si>
    <t>Príručka CBA, Tabuľka 40</t>
  </si>
  <si>
    <t>4Príručka CBA, tabuľka 43</t>
  </si>
  <si>
    <t>Príručka CBA, tabuľka 49</t>
  </si>
  <si>
    <t>Príručka CBA, Tabuľka 6</t>
  </si>
  <si>
    <t>Príručka CBA, Tabuľka 31</t>
  </si>
  <si>
    <t>Príručka CBA, tabuľka 32</t>
  </si>
  <si>
    <t>Príručka CBA, Tabuľka 34</t>
  </si>
  <si>
    <t>Výdavky na kostru vozidla, okná, dvere a súvisiace prvky;</t>
  </si>
  <si>
    <t>Výdavky na dvojkolesia, rám, brzdy, ložiská a súvisiace prvky;</t>
  </si>
  <si>
    <t>Výdavky na trakčné motory, transformátory, vypínač, usmerňovač a ďalšie súvisiace prvky;</t>
  </si>
  <si>
    <t>Výdavky na riadiace, komunikačné a zabezpečovacie zariadenia, klimatizáciu, kúrenie a iné technologické netrakčné zariadenia;</t>
  </si>
  <si>
    <t>Výdavky na sedačky, informačný systém a iné vybaenie priestoru pre cestujúcich;</t>
  </si>
  <si>
    <t>Vypočíta sa v hárku "02 Zostatková hodnota", v prípade kratšieho obdobia ako 40 rokov sa hárky primerane upravia</t>
  </si>
  <si>
    <t>Pomer príspevku (EÚ)</t>
  </si>
  <si>
    <t>5.3 Štruktúra financovania*</t>
  </si>
  <si>
    <t>*štruktúru je možné meniť podľa potreby, napr. v prípade konsolidovanej analýzy</t>
  </si>
  <si>
    <t>Poznámky:</t>
  </si>
  <si>
    <t>Priemerná cestovná vzdialenosť - železnica:</t>
  </si>
  <si>
    <t>km</t>
  </si>
  <si>
    <t>Priemerná cestovná vzdialenosť - automobil:</t>
  </si>
  <si>
    <t xml:space="preserve">Odhad  -  priemerná vzdialenosť prepravy automobilom </t>
  </si>
  <si>
    <t>Priemerná rýchlosť vlakov (Bez projektu):</t>
  </si>
  <si>
    <t>km/hod.</t>
  </si>
  <si>
    <t>Priemerná rýchlosť podľa aktuálneho grafikonu na tratiach</t>
  </si>
  <si>
    <t>Priemerná rýchlosť vlakov (S projektom):</t>
  </si>
  <si>
    <t>Priemerná rýchlosť po obstaraní nových EPJ</t>
  </si>
  <si>
    <t>Priemerná rýchlosť automobilov:</t>
  </si>
  <si>
    <t xml:space="preserve">Priemerná rýchlosť </t>
  </si>
  <si>
    <t>Časová elasticita v dopravnom prostriedku:</t>
  </si>
  <si>
    <t>Štúdia "The demand for public transport: a practical guide (TRL, 2005)</t>
  </si>
  <si>
    <t>Ekvivalent vnímaného času na zlepšenie kvality:</t>
  </si>
  <si>
    <t>Štúdia "Value and demand effect of rail service attributes" (Douglas, 2008)</t>
  </si>
  <si>
    <t>Zvažovaný časový ekvivalent na zlepšenie kvality:</t>
  </si>
  <si>
    <t>Douglas hodnota</t>
  </si>
  <si>
    <t>osôb/vozidlo</t>
  </si>
  <si>
    <t>počet osôb vo vozidle vrátane vodiča</t>
  </si>
  <si>
    <t xml:space="preserve">1.1 Prognóza počtu cestujúcich </t>
  </si>
  <si>
    <t>Prognóza počtu cestujúcich BEZ PROJEKTU</t>
  </si>
  <si>
    <t>Spolu</t>
  </si>
  <si>
    <t>Počet cestujúcich bez projektu</t>
  </si>
  <si>
    <t>Osobo-km</t>
  </si>
  <si>
    <t xml:space="preserve">Priemerná rýchlosť vlakov v km/hod. </t>
  </si>
  <si>
    <t xml:space="preserve">Priemerný cestovný čas v hod. </t>
  </si>
  <si>
    <t>Osobo-hod.</t>
  </si>
  <si>
    <t>Prognóza počtu cestujúcich S PROJEKTOM</t>
  </si>
  <si>
    <t>Počet cestujúcich (pôvodní)</t>
  </si>
  <si>
    <t>Oskm (pôvodní)</t>
  </si>
  <si>
    <t>Osobo-hod. (pôvodní)</t>
  </si>
  <si>
    <t xml:space="preserve">Priemerná rýchlosť vlakov </t>
  </si>
  <si>
    <t>Prevedená doprava (čas)</t>
  </si>
  <si>
    <t>Prevedená doprava (kvalita)</t>
  </si>
  <si>
    <t>Prevedení cestujúci z IAD</t>
  </si>
  <si>
    <t>Prevedení cestujúci spolu v oskm</t>
  </si>
  <si>
    <t>Osobo-hod. (prevedení)</t>
  </si>
  <si>
    <t>Oskm spolu po projekte</t>
  </si>
  <si>
    <t>Osobo-hod. spolu s projektom</t>
  </si>
  <si>
    <t>Počet cestujúcich s projektom</t>
  </si>
  <si>
    <t>PRÍRASTOK</t>
  </si>
  <si>
    <t>Úspora času (pôvodná) osobo-hod.</t>
  </si>
  <si>
    <t xml:space="preserve">Úspora času z prevedenej dopravy (RoH) osobo-hod. </t>
  </si>
  <si>
    <t xml:space="preserve">Úspora času v osobo-hod. </t>
  </si>
  <si>
    <t>Nasadenie vozidiel*</t>
  </si>
  <si>
    <t xml:space="preserve">CELKOVÁ ÚSPORA ČASU v osobo-hod. vrátane ramp-up procesu </t>
  </si>
  <si>
    <t xml:space="preserve">Prevedení cestujúci spolu v oskm </t>
  </si>
  <si>
    <t>Úspora prevádzkových nákladov vozidiel vo vzkm</t>
  </si>
  <si>
    <t>traťový úsek</t>
  </si>
  <si>
    <t>z toho: počet cestujúcich vlakmi projektu</t>
  </si>
  <si>
    <t>Bratislava - Žilina</t>
  </si>
  <si>
    <t xml:space="preserve">Účel cestovania - cestujúci projektu </t>
  </si>
  <si>
    <t>%</t>
  </si>
  <si>
    <t>počet osôb</t>
  </si>
  <si>
    <t>denná priemerná vzdialenosť v km</t>
  </si>
  <si>
    <t>priemerné cestovné  na oskm bez DPH a zľavy</t>
  </si>
  <si>
    <t>cestovná vzdialenosť</t>
  </si>
  <si>
    <t>cestovné  za skupiny cestujúcich</t>
  </si>
  <si>
    <t>Priemerné cestovné</t>
  </si>
  <si>
    <t>Číslo trate</t>
  </si>
  <si>
    <t>Trať</t>
  </si>
  <si>
    <t>úsek trate</t>
  </si>
  <si>
    <t xml:space="preserve">počet cestujúcich  v  priemerný pracovný deň </t>
  </si>
  <si>
    <t xml:space="preserve">ročný počet cestujúcich </t>
  </si>
  <si>
    <t xml:space="preserve">traťové úseky </t>
  </si>
  <si>
    <t>spolu</t>
  </si>
  <si>
    <t>denný počet cestujúcich osôb            IAD</t>
  </si>
  <si>
    <t>ročný počet cestujúcich IAD</t>
  </si>
  <si>
    <t>1.3 Náklady na modernizáciu vozidiel</t>
  </si>
  <si>
    <t>Náklady na jednotku v EUR</t>
  </si>
  <si>
    <t>Počet  jednotiek</t>
  </si>
  <si>
    <t>Spolu v EUR</t>
  </si>
  <si>
    <t>Elektrická jednotka</t>
  </si>
  <si>
    <t>Zdroj: ZSSK, 2024</t>
  </si>
  <si>
    <t>1.4 Počet vlakových jednotiek</t>
  </si>
  <si>
    <t xml:space="preserve">1.5  Časové rozloženie investičných nákladov </t>
  </si>
  <si>
    <t>Investičné náklady v EUR</t>
  </si>
  <si>
    <t>Zálohové platby</t>
  </si>
  <si>
    <t>Platby po dodaní</t>
  </si>
  <si>
    <t>3A.1  Prognóza dopravných výkonov projektu vo vlkm</t>
  </si>
  <si>
    <t>Dopravný výkon vo vlkm pred projektom</t>
  </si>
  <si>
    <t>Dopravný výkon vo vlkm po projekte</t>
  </si>
  <si>
    <t>Prírastok vlkm po projekte</t>
  </si>
  <si>
    <t>Zdroj: Výročná správa ZSSK za príslušný rok</t>
  </si>
  <si>
    <t>3A.3</t>
  </si>
  <si>
    <t>Dopravný výkon ZSSK vo vlkm</t>
  </si>
  <si>
    <t>index</t>
  </si>
  <si>
    <t>Zdroj: Výročné správy ZSSK za príslušné roky</t>
  </si>
  <si>
    <t>Počet súprav</t>
  </si>
  <si>
    <t>vlkm/deň na 1 súpravu</t>
  </si>
  <si>
    <t>Vlkm/rok na súpravu</t>
  </si>
  <si>
    <t>Vlkm/rok</t>
  </si>
  <si>
    <t>pred projektom - súčasný stav vlkm na tratiach</t>
  </si>
  <si>
    <t xml:space="preserve">s projektom - prognóza vývoja </t>
  </si>
  <si>
    <t>Dynamika sociálnych nákladov</t>
  </si>
  <si>
    <t>Rastový faktor</t>
  </si>
  <si>
    <t xml:space="preserve">Rastový faktor </t>
  </si>
  <si>
    <t xml:space="preserve">Spotreba energií bez projektu </t>
  </si>
  <si>
    <t xml:space="preserve">Spotreba energií s projektom </t>
  </si>
  <si>
    <t>Osobné náklady bez projektu</t>
  </si>
  <si>
    <t xml:space="preserve">Poplatok za vlkm </t>
  </si>
  <si>
    <t>Obnovovacie investície</t>
  </si>
  <si>
    <t>2023/2022</t>
  </si>
  <si>
    <t>2022/2021</t>
  </si>
  <si>
    <t>Poplatok za použitie dopravnej cestyy</t>
  </si>
  <si>
    <t>Spotreba energie</t>
  </si>
  <si>
    <t>Spotreba materiálu</t>
  </si>
  <si>
    <t>Opravy a údržiavanie</t>
  </si>
  <si>
    <t>Čistenie ŽKV</t>
  </si>
  <si>
    <t xml:space="preserve">3A.2   Vývoj prevádzkových výdavkov ZSSK </t>
  </si>
  <si>
    <t>IT služby</t>
  </si>
  <si>
    <t>Posun vozňov</t>
  </si>
  <si>
    <t>3A.7    Výdavky na materiál</t>
  </si>
  <si>
    <t>3A.8   Výdavky na energie</t>
  </si>
  <si>
    <t>3A.10    Výdavky na IT služby</t>
  </si>
  <si>
    <t>IT služby bez projektu</t>
  </si>
  <si>
    <t>IT služby s projektom</t>
  </si>
  <si>
    <t>Dynamika osobných výdavkov bez projektu</t>
  </si>
  <si>
    <t xml:space="preserve">Dynamika výdavkov spotreby materiálu bez projektu </t>
  </si>
  <si>
    <t>Dynamika výdavkov spotreby energie bez projektu</t>
  </si>
  <si>
    <t>Osobné výdavky</t>
  </si>
  <si>
    <t>Prevádzkové výdavky spolu</t>
  </si>
  <si>
    <t>3A.4  Výdavky na vlkm (priemerné) v EUR</t>
  </si>
  <si>
    <t>3A.5   Dynamika jednotlivých druhov prevádzkových výdavkov</t>
  </si>
  <si>
    <t>3A.6   Dynamika jednotlivých druhov prevádzkových výdavkov*</t>
  </si>
  <si>
    <t>Dynamika výdavkov na IT služby</t>
  </si>
  <si>
    <t>Dynamika výdavkov na opravy a udržiavanie</t>
  </si>
  <si>
    <t>Dynamika poplatku za použitie dopravnej cesty</t>
  </si>
  <si>
    <t>Výdavky na materiál bez projektu</t>
  </si>
  <si>
    <t>Výdavky na materiál s projektom</t>
  </si>
  <si>
    <t>Vplyv projektu na výdavky na materiál</t>
  </si>
  <si>
    <t>Vplyv projektu na výdavky na energie</t>
  </si>
  <si>
    <t>3A.9    Osobné výdavky</t>
  </si>
  <si>
    <t>Osobné výdavky s projektom</t>
  </si>
  <si>
    <t>Vplyv projektu na osobné výdavky</t>
  </si>
  <si>
    <t>Vplyv projektu na výdavky IT služieb</t>
  </si>
  <si>
    <t>3A.11    Výdavky na opravy a udržiavanie</t>
  </si>
  <si>
    <t>Výdavky na opravy a udržiavanie</t>
  </si>
  <si>
    <t>Vplyv projektu na výdavky na opravy a udržiavanie</t>
  </si>
  <si>
    <t>3A.12   Výdavky na čistenie ŽKV</t>
  </si>
  <si>
    <t>Výdavky na čistenie ŽKV na vlkm v EUR</t>
  </si>
  <si>
    <t>Výdavky na čistenie ŽKV bez projektu</t>
  </si>
  <si>
    <t>Výdavky na čistenie ŽKV s projektom</t>
  </si>
  <si>
    <t xml:space="preserve">Poplatok za použitie dopravnej cesty </t>
  </si>
  <si>
    <t>Poplatok za použitie dopravnej cesty s projektom</t>
  </si>
  <si>
    <t>Vplyv projektu na poplatok za použitie dopravnej cesty</t>
  </si>
  <si>
    <t>Dynamika výdavkov na čistenie ŽKV</t>
  </si>
  <si>
    <t>Dynamika výdavkov na posun ŽKV</t>
  </si>
  <si>
    <t>Vplyv projektu na výdavky na čistenie ŽKV</t>
  </si>
  <si>
    <t>Výdavky na obnovu vozidiel bez projektu</t>
  </si>
  <si>
    <t>Výdavky na obnovu vozidiel s projektom</t>
  </si>
  <si>
    <t>Vplyv projektu na výdavky na obnovu vozidiel</t>
  </si>
  <si>
    <t>3A.14   Výdavky, poplatok za použitie dopravnej cesty</t>
  </si>
  <si>
    <t>3A.13   Výdavky za posun ŽKV</t>
  </si>
  <si>
    <t>Výdavky za posun ŽKV</t>
  </si>
  <si>
    <t>Vplyv projektu na výdavky za posun ŽKV</t>
  </si>
  <si>
    <t>Výdavky na obnovu vozidiel</t>
  </si>
  <si>
    <t xml:space="preserve">Výdavky na obnovu bez projektu </t>
  </si>
  <si>
    <t>Výdavky na obnovu po projekte</t>
  </si>
  <si>
    <t>3A. 16    Výdavky na obnovu vozidiel</t>
  </si>
  <si>
    <t>3A. 15    Prevádzkové výdavky vozidiel</t>
  </si>
  <si>
    <t>Počet cestujúcich v r. 2023:</t>
  </si>
  <si>
    <t>Zdroj: ZSSK, 2023
železničná trať Bratislava - Žilina - R 7XX</t>
  </si>
  <si>
    <t>Zdroj: ZSSK, 2023
železničná trať Bratislava - Žilina -  R 7XX</t>
  </si>
  <si>
    <t>Priemerná obsadenosť automobilu (mimo mesto):</t>
  </si>
  <si>
    <t>Osobná doprava v území projektu IAD v roku 2023</t>
  </si>
  <si>
    <t>tržby bez DPH</t>
  </si>
  <si>
    <t>Zdroj: Stratégia ZSSK do roku 2027</t>
  </si>
  <si>
    <t>po projekte</t>
  </si>
  <si>
    <t>počet cestujúcich  v sobotu a nedeľu spolu</t>
  </si>
  <si>
    <t>Prognóza počtu cestujúcich bez realizácie projektu</t>
  </si>
  <si>
    <t>Vážený aritmetický priemer vzdialenosti cestovania, ZSSK 2023</t>
  </si>
  <si>
    <t>súkromné cesty</t>
  </si>
  <si>
    <t>príjem z cestovného rok 2023</t>
  </si>
  <si>
    <t>Počet cestujúcich v regionálnej doprave za rok 2023</t>
  </si>
  <si>
    <t>Počet cestujúcich v roku 2023</t>
  </si>
  <si>
    <t xml:space="preserve">Zdroj: Zisťovanie o počte cestujúcich, ZSSK, 2023                                     </t>
  </si>
  <si>
    <t>Zdroj: Celoštátne sčítanie dopravy v roku 2022 a 2023, aktualizované 30.11.2023, počet osobných automobilov</t>
  </si>
  <si>
    <t xml:space="preserve">počet ciest automobilom v cestnom úseku za 24 hodín </t>
  </si>
  <si>
    <t>2.1 Zostatková hodnota na základe životnosti infraštrukturálnych prvkov (alebo tzv. účtovné odpisy)</t>
  </si>
  <si>
    <t xml:space="preserve">Udržovacia oprava a obnova interiéru počas prevádzky HKV 361.1, Aeer, Bdmpeer </t>
  </si>
  <si>
    <t>Udržovacia oprava a obnova interiéru počas prevádzky EJ</t>
  </si>
  <si>
    <t>Vplyv projektu na výdavky vozidiel</t>
  </si>
  <si>
    <t>Úspora času v rámci železničnej osobnej dopravy (v EUR)</t>
  </si>
  <si>
    <t>služobná cesta</t>
  </si>
  <si>
    <t>dochádzanie do práce</t>
  </si>
  <si>
    <t xml:space="preserve">Úspora času z prevedenej dopravy (RoH) </t>
  </si>
  <si>
    <t>7.4   Úspora času projektu (v EUR)</t>
  </si>
  <si>
    <t>Hodnota úspory času zo železničnej osobnej dopravy v EUR</t>
  </si>
  <si>
    <t>Hodnota úspory času z prevedenej dopravy v EUR</t>
  </si>
  <si>
    <t>iné (súkromné)</t>
  </si>
  <si>
    <t>Nehody v cestnej doprave</t>
  </si>
  <si>
    <t>nehody automobily*</t>
  </si>
  <si>
    <t>celkom nehody</t>
  </si>
  <si>
    <t>smrteľné nehody</t>
  </si>
  <si>
    <t>ťažké zranenia</t>
  </si>
  <si>
    <t>ľahké zranenia</t>
  </si>
  <si>
    <t>automobily</t>
  </si>
  <si>
    <t>9A.4 Nehody v cestnej doprave celkom po úprave korekčným faktorom</t>
  </si>
  <si>
    <t>Relatívna miera bezpečnosti</t>
  </si>
  <si>
    <t>Korekčný koeficient pre cestné nehody</t>
  </si>
  <si>
    <t>Relatívna miera bezpečnosti po úprave korekčným faktorom</t>
  </si>
  <si>
    <t>Zdroj: Metodická príručka k tvorbe analýz nákladov a prínosov (CBA), OP II, verzia 3.0, máj 2021</t>
  </si>
  <si>
    <t>9A.5   Výkony automobilovej dopravy v regióne, r. 2023</t>
  </si>
  <si>
    <t>počet prepravených osôb</t>
  </si>
  <si>
    <t>preprava vo vzkm</t>
  </si>
  <si>
    <t xml:space="preserve">9A.6    Obsadenosť a cestovná  vzdialenosť v regióne </t>
  </si>
  <si>
    <t>automobil - obsadenosť</t>
  </si>
  <si>
    <t>cestovná vzdialenosť automobil</t>
  </si>
  <si>
    <t>9A.7   Výkony vo vzkm na jednu nehodu automobil</t>
  </si>
  <si>
    <t>smrteľná</t>
  </si>
  <si>
    <t>ťažké zranenie</t>
  </si>
  <si>
    <t>ľahké zranenie</t>
  </si>
  <si>
    <t>9A.8  Náklady na nehodovosť - automobilová doprava</t>
  </si>
  <si>
    <t>Počet cestujúcich automobilmi</t>
  </si>
  <si>
    <t>Výkony vo vzkm</t>
  </si>
  <si>
    <t>smrteľné zranenia</t>
  </si>
  <si>
    <t>z toho tranzitujúci cestujúci  na železničnú dopravu</t>
  </si>
  <si>
    <t>ÚSPORA nákladov nehodovosti - automobilmi</t>
  </si>
  <si>
    <t xml:space="preserve">Tranzitujúci cestujúci  </t>
  </si>
  <si>
    <t xml:space="preserve">Tranzitujúci cestujúci vo vzkm </t>
  </si>
  <si>
    <t>Extravilán</t>
  </si>
  <si>
    <t>SPOLU extravilány, intravilány obcí a miest</t>
  </si>
  <si>
    <t>Železničná doprava</t>
  </si>
  <si>
    <t>Cestná doprava</t>
  </si>
  <si>
    <t xml:space="preserve">Zdroj: Zisťovanie o počte cestujúcich ZSSK, 2023 (vlastná prognóza), INFOSTAT Kmeňová populačná prognóza Slovenska (2022 - 2080) </t>
  </si>
  <si>
    <t xml:space="preserve">Poschodová jednotka </t>
  </si>
  <si>
    <t>7.1 Čas cestujúcich stravený cestovaním (existujúci cestujúci) v osobo-hod.</t>
  </si>
  <si>
    <t>7.2 Čas cestujúcich stravený cestovaním (prevedení cestujúci) v osobo-hod.</t>
  </si>
  <si>
    <t>7.3 Čas cestujúcich strávený cestovaním (cestujúci na nadväzujúcich úsekoch) v osobo-hod.</t>
  </si>
  <si>
    <t>Zdroj: Štatistika nehôd MV SR - Prezídium policajného zboru SR, 2023, nehody v BA, TT a TN kraji a v okresoch ZA, BY, KM, CA</t>
  </si>
  <si>
    <t xml:space="preserve">  9A.1  Nehody v krajoch a okresoch priľahlých k D1 na úseku Bratislava - Žilina (r. 2023)</t>
  </si>
  <si>
    <t xml:space="preserve">Náklady z dopravných nehôd (v EUR) </t>
  </si>
  <si>
    <r>
      <rPr>
        <sz val="8"/>
        <color rgb="FFC00000"/>
        <rFont val="Calibri"/>
        <family val="2"/>
        <charset val="238"/>
        <scheme val="minor"/>
      </rPr>
      <t>→</t>
    </r>
    <r>
      <rPr>
        <sz val="8"/>
        <color rgb="FFC00000"/>
        <rFont val="Arial"/>
        <family val="2"/>
        <charset val="238"/>
      </rPr>
      <t xml:space="preserve"> v prípadoch úspory inkrementálnej úspory prevádzkových výdavkov (záporná hodnota) je možné bunku vynulovať za predpokladu, že úspora je kompenzovaná znížením prevádzkovej dotácie</t>
    </r>
  </si>
  <si>
    <r>
      <rPr>
        <sz val="8"/>
        <color rgb="FFC00000"/>
        <rFont val="Calibri"/>
        <family val="2"/>
        <charset val="238"/>
        <scheme val="minor"/>
      </rPr>
      <t>→</t>
    </r>
    <r>
      <rPr>
        <sz val="8"/>
        <color rgb="FFC00000"/>
        <rFont val="Arial"/>
        <family val="2"/>
        <charset val="238"/>
      </rPr>
      <t xml:space="preserve"> podľa čl. 18 Delegovaného nariadenia 480/2014 sa Zostatková hodnota investície zahrnie do výpočtu diskontovaných čistých príjmov operácie iba vtedy, ak príjmy prevyšujú výdavky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</si>
</sst>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_ ;[Red]\-#,##0\ "/>
    <numFmt numFmtId="165" formatCode="0.0"/>
    <numFmt numFmtId="166" formatCode="#,##0.0"/>
    <numFmt numFmtId="167" formatCode="0.0%"/>
    <numFmt numFmtId="168" formatCode="#,##0.00_ ;[Red]\-#,##0.00\ "/>
    <numFmt numFmtId="169" formatCode="0.000"/>
    <numFmt numFmtId="170" formatCode="0.0000"/>
    <numFmt numFmtId="171" formatCode="#,##0.0000"/>
    <numFmt numFmtId="172" formatCode="_-* #,##0_-;\-* #,##0_-;_-* &quot;-&quot;??_-;_-@_-"/>
    <numFmt numFmtId="173" formatCode="#,##0.000"/>
    <numFmt numFmtId="174" formatCode="0.000%"/>
    <numFmt numFmtId="175" formatCode="_-* #,##0.0000_-;\-* #,##0.0000_-;_-* &quot;-&quot;??_-;_-@_-"/>
    <numFmt numFmtId="176" formatCode="_-* #,##0.0000\ _€_-;\-* #,##0.0000\ _€_-;_-* &quot;-&quot;??\ _€_-;_-@_-"/>
    <numFmt numFmtId="177" formatCode="#,##0_ ;\-#,##0\ "/>
    <numFmt numFmtId="178" formatCode="_-* #,##0.000\ _€_-;\-* #,##0.000\ _€_-;_-* &quot;-&quot;??\ _€_-;_-@_-"/>
    <numFmt numFmtId="179" formatCode="_-* #,##0.000_-;\-* #,##0.000_-;_-* &quot;-&quot;??_-;_-@_-"/>
    <numFmt numFmtId="180" formatCode="#,##0.000_ ;\-#,##0.000\ "/>
    <numFmt numFmtId="181" formatCode="_-* #,##0\ &quot;€&quot;_-;\-* #,##0\ &quot;€&quot;_-;_-* &quot;-&quot;??\ &quot;€&quot;_-;_-@_-"/>
    <numFmt numFmtId="182" formatCode="#,##0\ _€"/>
  </numFmts>
  <fonts count="85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8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8"/>
      <color theme="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vertAlign val="subscript"/>
      <sz val="8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vertAlign val="subscript"/>
      <sz val="8"/>
      <name val="Arial"/>
      <family val="2"/>
      <charset val="238"/>
    </font>
    <font>
      <vertAlign val="subscript"/>
      <sz val="8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8"/>
      <color theme="3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22"/>
      <name val="Arial"/>
      <family val="2"/>
      <charset val="238"/>
    </font>
    <font>
      <sz val="8"/>
      <color rgb="FF3399FF"/>
      <name val="Arial"/>
      <family val="2"/>
      <charset val="238"/>
    </font>
    <font>
      <sz val="8"/>
      <name val="Calibri"/>
      <family val="2"/>
      <charset val="238"/>
      <scheme val="minor"/>
    </font>
    <font>
      <i/>
      <vertAlign val="subscript"/>
      <sz val="8"/>
      <name val="Arial"/>
      <family val="2"/>
      <charset val="238"/>
    </font>
    <font>
      <i/>
      <sz val="8"/>
      <color theme="3"/>
      <name val="Arial"/>
      <family val="2"/>
      <charset val="238"/>
    </font>
    <font>
      <sz val="10"/>
      <name val="Verdana"/>
      <family val="2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name val="Times New Roman"/>
      <family val="1"/>
    </font>
    <font>
      <b/>
      <sz val="14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1"/>
      <color indexed="8"/>
      <name val="Arial Narrow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9"/>
      <name val="Times New Roman"/>
      <family val="1"/>
      <charset val="238"/>
    </font>
    <font>
      <sz val="9"/>
      <name val="Times New Roman"/>
      <family val="1"/>
    </font>
    <font>
      <sz val="11"/>
      <name val="Arial"/>
      <family val="2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</font>
    <font>
      <b/>
      <sz val="12"/>
      <name val="Arial"/>
      <family val="2"/>
      <charset val="238"/>
    </font>
    <font>
      <sz val="14"/>
      <name val="Calibri"/>
      <family val="2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0"/>
      <name val="Arial"/>
      <family val="2"/>
      <charset val="238"/>
    </font>
    <font>
      <b/>
      <sz val="11"/>
      <name val="Calibri"/>
      <family val="2"/>
    </font>
    <font>
      <sz val="8"/>
      <color theme="0" tint="-0.14999847407452621"/>
      <name val="Arial"/>
      <family val="2"/>
      <charset val="238"/>
    </font>
    <font>
      <sz val="8"/>
      <color theme="1" tint="0.499984740745262"/>
      <name val="Arial"/>
      <family val="2"/>
      <charset val="238"/>
    </font>
    <font>
      <sz val="11"/>
      <color theme="0" tint="-0.249977111117893"/>
      <name val="Times New Roman"/>
      <family val="1"/>
      <charset val="238"/>
    </font>
    <font>
      <sz val="10"/>
      <color theme="0" tint="-0.249977111117893"/>
      <name val="Arial"/>
      <family val="2"/>
      <charset val="238"/>
    </font>
    <font>
      <b/>
      <sz val="10"/>
      <color theme="0" tint="-0.249977111117893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16"/>
      <name val="Times New Roman"/>
      <family val="1"/>
      <charset val="238"/>
    </font>
    <font>
      <sz val="10"/>
      <color rgb="FF00B05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Times New Roman"/>
      <family val="1"/>
    </font>
    <font>
      <i/>
      <sz val="9"/>
      <name val="Times New Roman"/>
      <family val="1"/>
    </font>
    <font>
      <i/>
      <sz val="8"/>
      <name val="Times New Roman"/>
      <family val="1"/>
      <charset val="238"/>
    </font>
    <font>
      <i/>
      <sz val="9"/>
      <color rgb="FF00B050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sz val="10"/>
      <color theme="1" tint="4.9989318521683403E-2"/>
      <name val="Times New Roman"/>
      <family val="1"/>
      <charset val="238"/>
    </font>
    <font>
      <sz val="10"/>
      <color theme="9" tint="-0.499984740745262"/>
      <name val="Times New Roman"/>
      <family val="1"/>
      <charset val="238"/>
    </font>
    <font>
      <sz val="10"/>
      <color rgb="FF00B05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9"/>
      <color theme="1" tint="4.9989318521683403E-2"/>
      <name val="Times New Roman"/>
      <family val="1"/>
      <charset val="238"/>
    </font>
    <font>
      <b/>
      <sz val="10"/>
      <color theme="1" tint="4.9989318521683403E-2"/>
      <name val="Times New Roman"/>
      <family val="1"/>
      <charset val="238"/>
    </font>
    <font>
      <sz val="10"/>
      <color theme="0" tint="-0.249977111117893"/>
      <name val="Times New Roman"/>
      <family val="1"/>
      <charset val="238"/>
    </font>
    <font>
      <sz val="8"/>
      <color rgb="FF000000"/>
      <name val="Arial"/>
      <family val="2"/>
      <charset val="238"/>
    </font>
    <font>
      <sz val="8"/>
      <color rgb="FFC00000"/>
      <name val="Arial"/>
      <family val="2"/>
      <charset val="238"/>
    </font>
    <font>
      <b/>
      <sz val="8"/>
      <color rgb="FFC00000"/>
      <name val="Arial"/>
      <family val="2"/>
      <charset val="238"/>
    </font>
    <font>
      <sz val="8"/>
      <color rgb="FFC00000"/>
      <name val="Calibri"/>
      <family val="2"/>
      <charset val="238"/>
      <scheme val="minor"/>
    </font>
    <font>
      <b/>
      <i/>
      <sz val="8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rgb="FF000000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9" fontId="2" fillId="0" borderId="0" applyFont="0" applyFill="0" applyBorder="0" applyAlignment="0" applyProtection="0"/>
    <xf numFmtId="0" fontId="1" fillId="0" borderId="0"/>
    <xf numFmtId="0" fontId="11" fillId="0" borderId="0"/>
    <xf numFmtId="0" fontId="2" fillId="0" borderId="0"/>
    <xf numFmtId="0" fontId="2" fillId="0" borderId="0"/>
    <xf numFmtId="9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2" fillId="0" borderId="0"/>
    <xf numFmtId="44" fontId="61" fillId="0" borderId="0" applyFont="0" applyFill="0" applyBorder="0" applyAlignment="0" applyProtection="0"/>
  </cellStyleXfs>
  <cellXfs count="794">
    <xf numFmtId="0" fontId="0" fillId="0" borderId="0" xfId="0"/>
    <xf numFmtId="0" fontId="5" fillId="0" borderId="0" xfId="0" applyFont="1"/>
    <xf numFmtId="0" fontId="3" fillId="0" borderId="0" xfId="0" applyFont="1"/>
    <xf numFmtId="0" fontId="3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6" fillId="3" borderId="1" xfId="0" applyFont="1" applyFill="1" applyBorder="1"/>
    <xf numFmtId="0" fontId="5" fillId="3" borderId="1" xfId="0" applyFont="1" applyFill="1" applyBorder="1"/>
    <xf numFmtId="3" fontId="3" fillId="0" borderId="1" xfId="0" applyNumberFormat="1" applyFont="1" applyBorder="1"/>
    <xf numFmtId="3" fontId="3" fillId="2" borderId="1" xfId="0" applyNumberFormat="1" applyFont="1" applyFill="1" applyBorder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3" fontId="6" fillId="0" borderId="1" xfId="0" applyNumberFormat="1" applyFont="1" applyBorder="1"/>
    <xf numFmtId="3" fontId="3" fillId="0" borderId="0" xfId="0" applyNumberFormat="1" applyFont="1"/>
    <xf numFmtId="0" fontId="6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/>
    <xf numFmtId="0" fontId="6" fillId="0" borderId="2" xfId="0" applyFont="1" applyBorder="1"/>
    <xf numFmtId="3" fontId="6" fillId="0" borderId="2" xfId="0" applyNumberFormat="1" applyFont="1" applyBorder="1"/>
    <xf numFmtId="0" fontId="6" fillId="0" borderId="3" xfId="0" applyFont="1" applyBorder="1"/>
    <xf numFmtId="3" fontId="6" fillId="0" borderId="3" xfId="0" applyNumberFormat="1" applyFont="1" applyBorder="1"/>
    <xf numFmtId="9" fontId="3" fillId="0" borderId="1" xfId="2" applyFont="1" applyFill="1" applyBorder="1"/>
    <xf numFmtId="164" fontId="3" fillId="0" borderId="0" xfId="0" applyNumberFormat="1" applyFont="1"/>
    <xf numFmtId="0" fontId="3" fillId="0" borderId="4" xfId="0" applyFont="1" applyBorder="1"/>
    <xf numFmtId="0" fontId="3" fillId="0" borderId="2" xfId="0" applyFont="1" applyBorder="1"/>
    <xf numFmtId="0" fontId="6" fillId="4" borderId="1" xfId="0" applyFont="1" applyFill="1" applyBorder="1"/>
    <xf numFmtId="0" fontId="3" fillId="0" borderId="3" xfId="0" applyFont="1" applyBorder="1"/>
    <xf numFmtId="0" fontId="3" fillId="0" borderId="0" xfId="1" applyFont="1"/>
    <xf numFmtId="0" fontId="3" fillId="0" borderId="1" xfId="1" applyFont="1" applyBorder="1"/>
    <xf numFmtId="0" fontId="6" fillId="0" borderId="1" xfId="1" applyFont="1" applyBorder="1"/>
    <xf numFmtId="0" fontId="5" fillId="0" borderId="1" xfId="1" applyFont="1" applyBorder="1"/>
    <xf numFmtId="0" fontId="6" fillId="3" borderId="1" xfId="1" applyFont="1" applyFill="1" applyBorder="1"/>
    <xf numFmtId="0" fontId="5" fillId="3" borderId="1" xfId="1" applyFont="1" applyFill="1" applyBorder="1"/>
    <xf numFmtId="0" fontId="6" fillId="0" borderId="0" xfId="1" applyFont="1"/>
    <xf numFmtId="164" fontId="3" fillId="0" borderId="1" xfId="1" applyNumberFormat="1" applyFont="1" applyBorder="1"/>
    <xf numFmtId="2" fontId="6" fillId="3" borderId="1" xfId="1" applyNumberFormat="1" applyFont="1" applyFill="1" applyBorder="1" applyAlignment="1">
      <alignment horizontal="center" wrapText="1"/>
    </xf>
    <xf numFmtId="0" fontId="3" fillId="0" borderId="4" xfId="1" applyFont="1" applyBorder="1"/>
    <xf numFmtId="0" fontId="3" fillId="2" borderId="1" xfId="0" applyFont="1" applyFill="1" applyBorder="1"/>
    <xf numFmtId="9" fontId="3" fillId="0" borderId="3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9" fillId="0" borderId="1" xfId="0" applyFont="1" applyBorder="1"/>
    <xf numFmtId="0" fontId="10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9" fontId="3" fillId="0" borderId="4" xfId="2" applyFont="1" applyBorder="1" applyAlignment="1">
      <alignment horizontal="center"/>
    </xf>
    <xf numFmtId="0" fontId="6" fillId="3" borderId="8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3" fillId="7" borderId="10" xfId="0" applyFont="1" applyFill="1" applyBorder="1"/>
    <xf numFmtId="0" fontId="3" fillId="7" borderId="12" xfId="0" applyFont="1" applyFill="1" applyBorder="1"/>
    <xf numFmtId="0" fontId="3" fillId="7" borderId="11" xfId="0" applyFont="1" applyFill="1" applyBorder="1"/>
    <xf numFmtId="0" fontId="3" fillId="7" borderId="13" xfId="0" applyFont="1" applyFill="1" applyBorder="1"/>
    <xf numFmtId="0" fontId="3" fillId="7" borderId="0" xfId="0" applyFont="1" applyFill="1"/>
    <xf numFmtId="0" fontId="3" fillId="7" borderId="14" xfId="0" applyFont="1" applyFill="1" applyBorder="1"/>
    <xf numFmtId="0" fontId="3" fillId="7" borderId="15" xfId="0" applyFont="1" applyFill="1" applyBorder="1"/>
    <xf numFmtId="0" fontId="3" fillId="7" borderId="16" xfId="0" applyFont="1" applyFill="1" applyBorder="1"/>
    <xf numFmtId="0" fontId="3" fillId="7" borderId="17" xfId="0" applyFont="1" applyFill="1" applyBorder="1"/>
    <xf numFmtId="0" fontId="3" fillId="0" borderId="3" xfId="0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2" fillId="0" borderId="0" xfId="0" applyFont="1"/>
    <xf numFmtId="167" fontId="3" fillId="0" borderId="1" xfId="0" applyNumberFormat="1" applyFont="1" applyBorder="1" applyAlignment="1">
      <alignment horizontal="center" vertical="center"/>
    </xf>
    <xf numFmtId="167" fontId="13" fillId="0" borderId="0" xfId="0" applyNumberFormat="1" applyFont="1"/>
    <xf numFmtId="0" fontId="6" fillId="8" borderId="18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169" fontId="3" fillId="6" borderId="1" xfId="0" applyNumberFormat="1" applyFont="1" applyFill="1" applyBorder="1" applyAlignment="1">
      <alignment horizontal="center"/>
    </xf>
    <xf numFmtId="169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9" fontId="3" fillId="0" borderId="3" xfId="0" applyNumberFormat="1" applyFont="1" applyBorder="1" applyAlignment="1">
      <alignment horizontal="center" vertical="center"/>
    </xf>
    <xf numFmtId="16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7" fontId="8" fillId="0" borderId="1" xfId="2" applyNumberFormat="1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9" fillId="0" borderId="3" xfId="0" applyFont="1" applyBorder="1"/>
    <xf numFmtId="0" fontId="6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wrapText="1"/>
    </xf>
    <xf numFmtId="169" fontId="9" fillId="0" borderId="3" xfId="0" applyNumberFormat="1" applyFont="1" applyBorder="1" applyAlignment="1">
      <alignment horizontal="center" vertical="center"/>
    </xf>
    <xf numFmtId="169" fontId="9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69" fontId="10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169" fontId="10" fillId="0" borderId="0" xfId="0" applyNumberFormat="1" applyFont="1" applyAlignment="1">
      <alignment horizontal="center" vertical="center"/>
    </xf>
    <xf numFmtId="16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171" fontId="9" fillId="0" borderId="1" xfId="0" applyNumberFormat="1" applyFont="1" applyBorder="1" applyAlignment="1">
      <alignment horizontal="center"/>
    </xf>
    <xf numFmtId="3" fontId="6" fillId="0" borderId="0" xfId="0" applyNumberFormat="1" applyFo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right"/>
    </xf>
    <xf numFmtId="3" fontId="5" fillId="0" borderId="1" xfId="0" applyNumberFormat="1" applyFont="1" applyBorder="1"/>
    <xf numFmtId="3" fontId="5" fillId="2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3" fontId="3" fillId="0" borderId="4" xfId="0" applyNumberFormat="1" applyFont="1" applyBorder="1"/>
    <xf numFmtId="0" fontId="6" fillId="4" borderId="5" xfId="0" applyFont="1" applyFill="1" applyBorder="1"/>
    <xf numFmtId="0" fontId="3" fillId="5" borderId="1" xfId="0" applyFont="1" applyFill="1" applyBorder="1"/>
    <xf numFmtId="164" fontId="3" fillId="0" borderId="1" xfId="0" applyNumberFormat="1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5" xfId="0" applyNumberFormat="1" applyFont="1" applyBorder="1"/>
    <xf numFmtId="164" fontId="3" fillId="2" borderId="1" xfId="0" applyNumberFormat="1" applyFont="1" applyFill="1" applyBorder="1"/>
    <xf numFmtId="164" fontId="3" fillId="2" borderId="1" xfId="1" applyNumberFormat="1" applyFont="1" applyFill="1" applyBorder="1"/>
    <xf numFmtId="164" fontId="6" fillId="0" borderId="1" xfId="1" applyNumberFormat="1" applyFont="1" applyBorder="1"/>
    <xf numFmtId="0" fontId="6" fillId="0" borderId="5" xfId="1" applyFont="1" applyBorder="1" applyAlignment="1">
      <alignment wrapText="1"/>
    </xf>
    <xf numFmtId="0" fontId="6" fillId="6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13" fillId="0" borderId="0" xfId="0" applyFont="1"/>
    <xf numFmtId="3" fontId="3" fillId="3" borderId="4" xfId="0" applyNumberFormat="1" applyFont="1" applyFill="1" applyBorder="1"/>
    <xf numFmtId="0" fontId="3" fillId="3" borderId="4" xfId="0" applyFont="1" applyFill="1" applyBorder="1"/>
    <xf numFmtId="0" fontId="20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3" fillId="0" borderId="0" xfId="0" applyFont="1"/>
    <xf numFmtId="164" fontId="6" fillId="0" borderId="0" xfId="1" applyNumberFormat="1" applyFont="1"/>
    <xf numFmtId="0" fontId="3" fillId="0" borderId="1" xfId="0" applyFont="1" applyBorder="1" applyAlignment="1">
      <alignment vertical="center" wrapText="1"/>
    </xf>
    <xf numFmtId="0" fontId="6" fillId="10" borderId="1" xfId="0" applyFont="1" applyFill="1" applyBorder="1" applyAlignment="1">
      <alignment horizontal="left" vertical="center"/>
    </xf>
    <xf numFmtId="0" fontId="6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/>
    <xf numFmtId="0" fontId="7" fillId="10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vertical="center"/>
    </xf>
    <xf numFmtId="0" fontId="7" fillId="10" borderId="1" xfId="0" applyFont="1" applyFill="1" applyBorder="1" applyAlignment="1">
      <alignment horizontal="left" vertical="center"/>
    </xf>
    <xf numFmtId="0" fontId="7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/>
    </xf>
    <xf numFmtId="9" fontId="7" fillId="10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left" vertical="center" wrapText="1"/>
    </xf>
    <xf numFmtId="166" fontId="9" fillId="9" borderId="1" xfId="0" applyNumberFormat="1" applyFont="1" applyFill="1" applyBorder="1" applyAlignment="1">
      <alignment horizontal="center"/>
    </xf>
    <xf numFmtId="3" fontId="6" fillId="10" borderId="6" xfId="0" applyNumberFormat="1" applyFont="1" applyFill="1" applyBorder="1"/>
    <xf numFmtId="3" fontId="3" fillId="9" borderId="8" xfId="0" applyNumberFormat="1" applyFont="1" applyFill="1" applyBorder="1"/>
    <xf numFmtId="3" fontId="6" fillId="9" borderId="6" xfId="0" applyNumberFormat="1" applyFont="1" applyFill="1" applyBorder="1"/>
    <xf numFmtId="3" fontId="3" fillId="10" borderId="9" xfId="0" applyNumberFormat="1" applyFont="1" applyFill="1" applyBorder="1"/>
    <xf numFmtId="0" fontId="6" fillId="9" borderId="1" xfId="0" applyFont="1" applyFill="1" applyBorder="1"/>
    <xf numFmtId="3" fontId="3" fillId="9" borderId="1" xfId="0" applyNumberFormat="1" applyFont="1" applyFill="1" applyBorder="1"/>
    <xf numFmtId="10" fontId="3" fillId="9" borderId="1" xfId="2" applyNumberFormat="1" applyFont="1" applyFill="1" applyBorder="1"/>
    <xf numFmtId="164" fontId="3" fillId="9" borderId="1" xfId="0" applyNumberFormat="1" applyFont="1" applyFill="1" applyBorder="1"/>
    <xf numFmtId="9" fontId="3" fillId="9" borderId="1" xfId="0" applyNumberFormat="1" applyFont="1" applyFill="1" applyBorder="1"/>
    <xf numFmtId="0" fontId="6" fillId="10" borderId="4" xfId="1" applyFont="1" applyFill="1" applyBorder="1"/>
    <xf numFmtId="164" fontId="6" fillId="10" borderId="1" xfId="1" applyNumberFormat="1" applyFont="1" applyFill="1" applyBorder="1"/>
    <xf numFmtId="164" fontId="6" fillId="10" borderId="7" xfId="1" applyNumberFormat="1" applyFont="1" applyFill="1" applyBorder="1"/>
    <xf numFmtId="0" fontId="6" fillId="9" borderId="4" xfId="1" applyFont="1" applyFill="1" applyBorder="1"/>
    <xf numFmtId="164" fontId="6" fillId="9" borderId="1" xfId="1" applyNumberFormat="1" applyFont="1" applyFill="1" applyBorder="1"/>
    <xf numFmtId="164" fontId="6" fillId="9" borderId="7" xfId="1" applyNumberFormat="1" applyFont="1" applyFill="1" applyBorder="1"/>
    <xf numFmtId="0" fontId="6" fillId="3" borderId="5" xfId="1" applyFont="1" applyFill="1" applyBorder="1" applyAlignment="1">
      <alignment wrapText="1"/>
    </xf>
    <xf numFmtId="0" fontId="6" fillId="9" borderId="1" xfId="1" applyFont="1" applyFill="1" applyBorder="1"/>
    <xf numFmtId="164" fontId="3" fillId="9" borderId="1" xfId="1" applyNumberFormat="1" applyFont="1" applyFill="1" applyBorder="1"/>
    <xf numFmtId="10" fontId="3" fillId="9" borderId="1" xfId="1" applyNumberFormat="1" applyFont="1" applyFill="1" applyBorder="1"/>
    <xf numFmtId="0" fontId="3" fillId="9" borderId="1" xfId="1" applyFont="1" applyFill="1" applyBorder="1"/>
    <xf numFmtId="3" fontId="6" fillId="10" borderId="4" xfId="0" applyNumberFormat="1" applyFont="1" applyFill="1" applyBorder="1"/>
    <xf numFmtId="164" fontId="6" fillId="10" borderId="1" xfId="0" applyNumberFormat="1" applyFont="1" applyFill="1" applyBorder="1"/>
    <xf numFmtId="164" fontId="6" fillId="10" borderId="7" xfId="0" applyNumberFormat="1" applyFont="1" applyFill="1" applyBorder="1"/>
    <xf numFmtId="0" fontId="7" fillId="8" borderId="1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center" vertical="center"/>
    </xf>
    <xf numFmtId="164" fontId="3" fillId="5" borderId="1" xfId="0" applyNumberFormat="1" applyFont="1" applyFill="1" applyBorder="1"/>
    <xf numFmtId="164" fontId="6" fillId="0" borderId="1" xfId="0" applyNumberFormat="1" applyFont="1" applyBorder="1"/>
    <xf numFmtId="164" fontId="6" fillId="4" borderId="5" xfId="0" applyNumberFormat="1" applyFont="1" applyFill="1" applyBorder="1"/>
    <xf numFmtId="164" fontId="6" fillId="4" borderId="1" xfId="0" applyNumberFormat="1" applyFont="1" applyFill="1" applyBorder="1"/>
    <xf numFmtId="17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6" fillId="10" borderId="1" xfId="0" applyFont="1" applyFill="1" applyBorder="1" applyAlignment="1">
      <alignment horizontal="left"/>
    </xf>
    <xf numFmtId="0" fontId="6" fillId="10" borderId="1" xfId="0" applyFont="1" applyFill="1" applyBorder="1" applyAlignment="1">
      <alignment horizontal="center"/>
    </xf>
    <xf numFmtId="0" fontId="6" fillId="10" borderId="1" xfId="0" applyFont="1" applyFill="1" applyBorder="1"/>
    <xf numFmtId="0" fontId="3" fillId="9" borderId="4" xfId="0" applyFont="1" applyFill="1" applyBorder="1" applyAlignment="1">
      <alignment horizontal="center"/>
    </xf>
    <xf numFmtId="0" fontId="3" fillId="9" borderId="20" xfId="0" applyFont="1" applyFill="1" applyBorder="1" applyAlignment="1">
      <alignment horizontal="center"/>
    </xf>
    <xf numFmtId="0" fontId="3" fillId="9" borderId="20" xfId="0" applyFont="1" applyFill="1" applyBorder="1"/>
    <xf numFmtId="0" fontId="3" fillId="9" borderId="7" xfId="0" applyFont="1" applyFill="1" applyBorder="1" applyAlignment="1">
      <alignment horizontal="center"/>
    </xf>
    <xf numFmtId="0" fontId="6" fillId="8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169" fontId="5" fillId="6" borderId="1" xfId="0" applyNumberFormat="1" applyFont="1" applyFill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1" fontId="7" fillId="8" borderId="1" xfId="0" applyNumberFormat="1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13" fillId="0" borderId="0" xfId="0" applyNumberFormat="1" applyFont="1" applyAlignment="1">
      <alignment horizontal="center"/>
    </xf>
    <xf numFmtId="9" fontId="7" fillId="8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169" fontId="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16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25" fillId="0" borderId="0" xfId="0" applyFont="1"/>
    <xf numFmtId="0" fontId="19" fillId="11" borderId="1" xfId="0" applyFont="1" applyFill="1" applyBorder="1"/>
    <xf numFmtId="3" fontId="19" fillId="11" borderId="1" xfId="0" applyNumberFormat="1" applyFont="1" applyFill="1" applyBorder="1"/>
    <xf numFmtId="0" fontId="15" fillId="0" borderId="0" xfId="0" applyFont="1" applyAlignment="1">
      <alignment horizontal="left" vertical="center"/>
    </xf>
    <xf numFmtId="3" fontId="3" fillId="0" borderId="1" xfId="0" applyNumberFormat="1" applyFont="1" applyBorder="1" applyAlignment="1">
      <alignment vertical="center" wrapText="1"/>
    </xf>
    <xf numFmtId="0" fontId="6" fillId="0" borderId="5" xfId="0" applyFont="1" applyBorder="1"/>
    <xf numFmtId="0" fontId="3" fillId="0" borderId="5" xfId="0" applyFont="1" applyBorder="1"/>
    <xf numFmtId="3" fontId="3" fillId="0" borderId="5" xfId="0" applyNumberFormat="1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6" fillId="9" borderId="25" xfId="0" applyFont="1" applyFill="1" applyBorder="1"/>
    <xf numFmtId="0" fontId="6" fillId="9" borderId="26" xfId="0" applyFont="1" applyFill="1" applyBorder="1"/>
    <xf numFmtId="0" fontId="6" fillId="9" borderId="27" xfId="0" applyFont="1" applyFill="1" applyBorder="1"/>
    <xf numFmtId="0" fontId="6" fillId="9" borderId="28" xfId="0" applyFont="1" applyFill="1" applyBorder="1"/>
    <xf numFmtId="164" fontId="3" fillId="4" borderId="1" xfId="0" applyNumberFormat="1" applyFont="1" applyFill="1" applyBorder="1"/>
    <xf numFmtId="164" fontId="3" fillId="4" borderId="2" xfId="0" applyNumberFormat="1" applyFont="1" applyFill="1" applyBorder="1"/>
    <xf numFmtId="164" fontId="3" fillId="4" borderId="3" xfId="0" applyNumberFormat="1" applyFont="1" applyFill="1" applyBorder="1"/>
    <xf numFmtId="164" fontId="6" fillId="0" borderId="3" xfId="0" applyNumberFormat="1" applyFont="1" applyBorder="1"/>
    <xf numFmtId="164" fontId="6" fillId="4" borderId="3" xfId="0" applyNumberFormat="1" applyFont="1" applyFill="1" applyBorder="1"/>
    <xf numFmtId="3" fontId="6" fillId="12" borderId="4" xfId="0" applyNumberFormat="1" applyFont="1" applyFill="1" applyBorder="1"/>
    <xf numFmtId="164" fontId="6" fillId="12" borderId="1" xfId="0" applyNumberFormat="1" applyFont="1" applyFill="1" applyBorder="1"/>
    <xf numFmtId="164" fontId="6" fillId="12" borderId="7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3" fillId="0" borderId="1" xfId="5" applyFont="1" applyBorder="1"/>
    <xf numFmtId="0" fontId="3" fillId="0" borderId="0" xfId="5" applyFont="1"/>
    <xf numFmtId="0" fontId="6" fillId="0" borderId="1" xfId="5" applyFont="1" applyBorder="1"/>
    <xf numFmtId="0" fontId="6" fillId="3" borderId="1" xfId="5" applyFont="1" applyFill="1" applyBorder="1"/>
    <xf numFmtId="0" fontId="6" fillId="3" borderId="1" xfId="5" applyFont="1" applyFill="1" applyBorder="1" applyAlignment="1">
      <alignment horizontal="center"/>
    </xf>
    <xf numFmtId="164" fontId="3" fillId="0" borderId="1" xfId="5" applyNumberFormat="1" applyFont="1" applyBorder="1"/>
    <xf numFmtId="164" fontId="3" fillId="2" borderId="1" xfId="5" applyNumberFormat="1" applyFont="1" applyFill="1" applyBorder="1"/>
    <xf numFmtId="0" fontId="5" fillId="0" borderId="1" xfId="5" applyFont="1" applyBorder="1"/>
    <xf numFmtId="164" fontId="5" fillId="0" borderId="1" xfId="5" applyNumberFormat="1" applyFont="1" applyBorder="1"/>
    <xf numFmtId="0" fontId="5" fillId="3" borderId="1" xfId="5" applyFont="1" applyFill="1" applyBorder="1"/>
    <xf numFmtId="0" fontId="3" fillId="0" borderId="2" xfId="5" applyFont="1" applyBorder="1"/>
    <xf numFmtId="164" fontId="3" fillId="0" borderId="2" xfId="5" applyNumberFormat="1" applyFont="1" applyBorder="1"/>
    <xf numFmtId="0" fontId="3" fillId="0" borderId="3" xfId="5" applyFont="1" applyBorder="1"/>
    <xf numFmtId="164" fontId="3" fillId="0" borderId="29" xfId="5" applyNumberFormat="1" applyFont="1" applyBorder="1"/>
    <xf numFmtId="164" fontId="3" fillId="0" borderId="3" xfId="5" applyNumberFormat="1" applyFont="1" applyBorder="1"/>
    <xf numFmtId="3" fontId="3" fillId="0" borderId="0" xfId="5" applyNumberFormat="1" applyFont="1"/>
    <xf numFmtId="3" fontId="3" fillId="0" borderId="1" xfId="5" applyNumberFormat="1" applyFont="1" applyBorder="1"/>
    <xf numFmtId="164" fontId="5" fillId="0" borderId="7" xfId="5" applyNumberFormat="1" applyFont="1" applyBorder="1"/>
    <xf numFmtId="3" fontId="6" fillId="6" borderId="4" xfId="5" applyNumberFormat="1" applyFont="1" applyFill="1" applyBorder="1"/>
    <xf numFmtId="164" fontId="6" fillId="6" borderId="1" xfId="5" applyNumberFormat="1" applyFont="1" applyFill="1" applyBorder="1"/>
    <xf numFmtId="164" fontId="6" fillId="6" borderId="7" xfId="5" applyNumberFormat="1" applyFont="1" applyFill="1" applyBorder="1"/>
    <xf numFmtId="0" fontId="6" fillId="0" borderId="1" xfId="5" applyFont="1" applyBorder="1" applyAlignment="1">
      <alignment horizontal="center"/>
    </xf>
    <xf numFmtId="3" fontId="6" fillId="8" borderId="4" xfId="5" applyNumberFormat="1" applyFont="1" applyFill="1" applyBorder="1"/>
    <xf numFmtId="164" fontId="6" fillId="8" borderId="1" xfId="5" applyNumberFormat="1" applyFont="1" applyFill="1" applyBorder="1"/>
    <xf numFmtId="164" fontId="6" fillId="8" borderId="7" xfId="5" applyNumberFormat="1" applyFont="1" applyFill="1" applyBorder="1"/>
    <xf numFmtId="0" fontId="5" fillId="0" borderId="0" xfId="5" applyFont="1"/>
    <xf numFmtId="0" fontId="6" fillId="0" borderId="1" xfId="5" applyFont="1" applyBorder="1" applyAlignment="1">
      <alignment wrapText="1"/>
    </xf>
    <xf numFmtId="0" fontId="3" fillId="0" borderId="0" xfId="6" applyFont="1"/>
    <xf numFmtId="0" fontId="3" fillId="0" borderId="1" xfId="6" applyFont="1" applyBorder="1"/>
    <xf numFmtId="0" fontId="6" fillId="0" borderId="1" xfId="6" applyFont="1" applyBorder="1"/>
    <xf numFmtId="0" fontId="5" fillId="0" borderId="1" xfId="6" applyFont="1" applyBorder="1"/>
    <xf numFmtId="0" fontId="6" fillId="3" borderId="1" xfId="6" applyFont="1" applyFill="1" applyBorder="1"/>
    <xf numFmtId="0" fontId="6" fillId="3" borderId="1" xfId="6" applyFont="1" applyFill="1" applyBorder="1" applyAlignment="1">
      <alignment horizontal="center"/>
    </xf>
    <xf numFmtId="0" fontId="5" fillId="3" borderId="1" xfId="6" applyFont="1" applyFill="1" applyBorder="1"/>
    <xf numFmtId="164" fontId="3" fillId="0" borderId="1" xfId="6" applyNumberFormat="1" applyFont="1" applyBorder="1"/>
    <xf numFmtId="164" fontId="3" fillId="2" borderId="1" xfId="6" applyNumberFormat="1" applyFont="1" applyFill="1" applyBorder="1"/>
    <xf numFmtId="164" fontId="6" fillId="0" borderId="1" xfId="6" applyNumberFormat="1" applyFont="1" applyBorder="1"/>
    <xf numFmtId="164" fontId="3" fillId="0" borderId="5" xfId="6" applyNumberFormat="1" applyFont="1" applyBorder="1"/>
    <xf numFmtId="0" fontId="6" fillId="6" borderId="4" xfId="6" applyFont="1" applyFill="1" applyBorder="1"/>
    <xf numFmtId="164" fontId="6" fillId="6" borderId="1" xfId="6" applyNumberFormat="1" applyFont="1" applyFill="1" applyBorder="1"/>
    <xf numFmtId="0" fontId="6" fillId="3" borderId="1" xfId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164" fontId="6" fillId="6" borderId="7" xfId="6" applyNumberFormat="1" applyFont="1" applyFill="1" applyBorder="1"/>
    <xf numFmtId="0" fontId="6" fillId="0" borderId="5" xfId="6" applyFont="1" applyBorder="1" applyAlignment="1">
      <alignment wrapText="1"/>
    </xf>
    <xf numFmtId="0" fontId="6" fillId="8" borderId="4" xfId="6" applyFont="1" applyFill="1" applyBorder="1"/>
    <xf numFmtId="164" fontId="6" fillId="8" borderId="1" xfId="6" applyNumberFormat="1" applyFont="1" applyFill="1" applyBorder="1"/>
    <xf numFmtId="164" fontId="6" fillId="8" borderId="7" xfId="6" applyNumberFormat="1" applyFont="1" applyFill="1" applyBorder="1"/>
    <xf numFmtId="164" fontId="5" fillId="0" borderId="1" xfId="6" applyNumberFormat="1" applyFont="1" applyBorder="1"/>
    <xf numFmtId="0" fontId="27" fillId="0" borderId="1" xfId="6" applyFont="1" applyBorder="1" applyAlignment="1">
      <alignment horizontal="left" indent="1"/>
    </xf>
    <xf numFmtId="0" fontId="3" fillId="0" borderId="1" xfId="6" applyFont="1" applyBorder="1" applyAlignment="1">
      <alignment horizontal="left"/>
    </xf>
    <xf numFmtId="0" fontId="3" fillId="0" borderId="4" xfId="6" applyFont="1" applyBorder="1"/>
    <xf numFmtId="168" fontId="3" fillId="9" borderId="1" xfId="6" applyNumberFormat="1" applyFont="1" applyFill="1" applyBorder="1" applyAlignment="1">
      <alignment horizontal="right"/>
    </xf>
    <xf numFmtId="3" fontId="3" fillId="13" borderId="0" xfId="0" applyNumberFormat="1" applyFont="1" applyFill="1"/>
    <xf numFmtId="0" fontId="3" fillId="13" borderId="0" xfId="0" applyFont="1" applyFill="1"/>
    <xf numFmtId="0" fontId="5" fillId="9" borderId="1" xfId="0" applyFont="1" applyFill="1" applyBorder="1"/>
    <xf numFmtId="0" fontId="2" fillId="0" borderId="0" xfId="5"/>
    <xf numFmtId="0" fontId="28" fillId="0" borderId="0" xfId="5" applyFont="1"/>
    <xf numFmtId="0" fontId="29" fillId="0" borderId="0" xfId="5" applyFont="1"/>
    <xf numFmtId="0" fontId="30" fillId="0" borderId="1" xfId="5" applyFont="1" applyBorder="1" applyAlignment="1">
      <alignment horizontal="right"/>
    </xf>
    <xf numFmtId="3" fontId="30" fillId="0" borderId="1" xfId="5" applyNumberFormat="1" applyFont="1" applyBorder="1"/>
    <xf numFmtId="3" fontId="30" fillId="0" borderId="0" xfId="5" applyNumberFormat="1" applyFont="1"/>
    <xf numFmtId="0" fontId="2" fillId="0" borderId="0" xfId="5" applyAlignment="1">
      <alignment horizontal="center"/>
    </xf>
    <xf numFmtId="165" fontId="2" fillId="0" borderId="0" xfId="5" applyNumberFormat="1" applyAlignment="1">
      <alignment horizontal="center"/>
    </xf>
    <xf numFmtId="2" fontId="2" fillId="0" borderId="0" xfId="5" applyNumberFormat="1" applyAlignment="1">
      <alignment horizontal="center"/>
    </xf>
    <xf numFmtId="2" fontId="30" fillId="0" borderId="1" xfId="5" applyNumberFormat="1" applyFont="1" applyBorder="1"/>
    <xf numFmtId="0" fontId="30" fillId="0" borderId="0" xfId="5" applyFont="1"/>
    <xf numFmtId="0" fontId="31" fillId="0" borderId="0" xfId="5" applyFont="1"/>
    <xf numFmtId="0" fontId="31" fillId="0" borderId="0" xfId="5" applyFont="1" applyAlignment="1">
      <alignment horizontal="left" vertical="top" wrapText="1"/>
    </xf>
    <xf numFmtId="0" fontId="28" fillId="0" borderId="0" xfId="5" applyFont="1" applyAlignment="1">
      <alignment horizontal="center"/>
    </xf>
    <xf numFmtId="10" fontId="30" fillId="0" borderId="30" xfId="5" applyNumberFormat="1" applyFont="1" applyBorder="1" applyAlignment="1">
      <alignment horizontal="center"/>
    </xf>
    <xf numFmtId="9" fontId="30" fillId="0" borderId="1" xfId="5" applyNumberFormat="1" applyFont="1" applyBorder="1"/>
    <xf numFmtId="0" fontId="30" fillId="0" borderId="1" xfId="5" applyFont="1" applyBorder="1"/>
    <xf numFmtId="0" fontId="32" fillId="0" borderId="0" xfId="5" applyFont="1" applyAlignment="1">
      <alignment vertical="center"/>
    </xf>
    <xf numFmtId="9" fontId="2" fillId="0" borderId="0" xfId="5" applyNumberFormat="1"/>
    <xf numFmtId="16" fontId="33" fillId="3" borderId="1" xfId="5" applyNumberFormat="1" applyFont="1" applyFill="1" applyBorder="1"/>
    <xf numFmtId="0" fontId="33" fillId="3" borderId="1" xfId="5" applyFont="1" applyFill="1" applyBorder="1"/>
    <xf numFmtId="0" fontId="29" fillId="3" borderId="1" xfId="5" applyFont="1" applyFill="1" applyBorder="1"/>
    <xf numFmtId="0" fontId="34" fillId="0" borderId="0" xfId="5" applyFont="1" applyAlignment="1">
      <alignment vertical="center"/>
    </xf>
    <xf numFmtId="0" fontId="33" fillId="3" borderId="1" xfId="5" applyFont="1" applyFill="1" applyBorder="1" applyAlignment="1">
      <alignment horizontal="center"/>
    </xf>
    <xf numFmtId="0" fontId="30" fillId="3" borderId="1" xfId="5" applyFont="1" applyFill="1" applyBorder="1"/>
    <xf numFmtId="0" fontId="34" fillId="14" borderId="1" xfId="5" applyFont="1" applyFill="1" applyBorder="1" applyAlignment="1">
      <alignment vertical="center" wrapText="1"/>
    </xf>
    <xf numFmtId="3" fontId="34" fillId="15" borderId="7" xfId="5" applyNumberFormat="1" applyFont="1" applyFill="1" applyBorder="1" applyAlignment="1">
      <alignment wrapText="1"/>
    </xf>
    <xf numFmtId="3" fontId="34" fillId="16" borderId="1" xfId="5" applyNumberFormat="1" applyFont="1" applyFill="1" applyBorder="1"/>
    <xf numFmtId="0" fontId="35" fillId="0" borderId="0" xfId="5" applyFont="1"/>
    <xf numFmtId="3" fontId="33" fillId="15" borderId="7" xfId="5" applyNumberFormat="1" applyFont="1" applyFill="1" applyBorder="1" applyAlignment="1">
      <alignment vertical="center" wrapText="1"/>
    </xf>
    <xf numFmtId="4" fontId="30" fillId="0" borderId="1" xfId="5" applyNumberFormat="1" applyFont="1" applyBorder="1"/>
    <xf numFmtId="0" fontId="33" fillId="15" borderId="4" xfId="5" applyFont="1" applyFill="1" applyBorder="1" applyAlignment="1">
      <alignment vertical="center" wrapText="1"/>
    </xf>
    <xf numFmtId="3" fontId="33" fillId="0" borderId="1" xfId="5" applyNumberFormat="1" applyFont="1" applyBorder="1"/>
    <xf numFmtId="0" fontId="33" fillId="0" borderId="0" xfId="5" applyFont="1"/>
    <xf numFmtId="0" fontId="33" fillId="15" borderId="1" xfId="5" applyFont="1" applyFill="1" applyBorder="1"/>
    <xf numFmtId="3" fontId="33" fillId="15" borderId="1" xfId="5" applyNumberFormat="1" applyFont="1" applyFill="1" applyBorder="1"/>
    <xf numFmtId="0" fontId="33" fillId="0" borderId="1" xfId="5" applyFont="1" applyBorder="1"/>
    <xf numFmtId="3" fontId="33" fillId="0" borderId="7" xfId="5" applyNumberFormat="1" applyFont="1" applyBorder="1" applyAlignment="1">
      <alignment vertical="center" wrapText="1"/>
    </xf>
    <xf numFmtId="10" fontId="30" fillId="0" borderId="1" xfId="7" applyNumberFormat="1" applyFont="1" applyFill="1" applyBorder="1"/>
    <xf numFmtId="172" fontId="30" fillId="0" borderId="0" xfId="8" applyNumberFormat="1" applyFont="1"/>
    <xf numFmtId="169" fontId="30" fillId="17" borderId="1" xfId="5" applyNumberFormat="1" applyFont="1" applyFill="1" applyBorder="1"/>
    <xf numFmtId="173" fontId="33" fillId="15" borderId="7" xfId="5" applyNumberFormat="1" applyFont="1" applyFill="1" applyBorder="1" applyAlignment="1">
      <alignment vertical="center" wrapText="1"/>
    </xf>
    <xf numFmtId="173" fontId="30" fillId="0" borderId="1" xfId="5" applyNumberFormat="1" applyFont="1" applyBorder="1"/>
    <xf numFmtId="0" fontId="34" fillId="15" borderId="1" xfId="5" applyFont="1" applyFill="1" applyBorder="1" applyAlignment="1">
      <alignment vertical="center"/>
    </xf>
    <xf numFmtId="3" fontId="34" fillId="15" borderId="1" xfId="5" applyNumberFormat="1" applyFont="1" applyFill="1" applyBorder="1"/>
    <xf numFmtId="172" fontId="35" fillId="0" borderId="0" xfId="8" applyNumberFormat="1" applyFont="1"/>
    <xf numFmtId="3" fontId="30" fillId="0" borderId="1" xfId="8" applyNumberFormat="1" applyFont="1" applyBorder="1" applyAlignment="1">
      <alignment horizontal="right"/>
    </xf>
    <xf numFmtId="3" fontId="33" fillId="3" borderId="7" xfId="5" applyNumberFormat="1" applyFont="1" applyFill="1" applyBorder="1" applyAlignment="1">
      <alignment vertical="center" wrapText="1"/>
    </xf>
    <xf numFmtId="3" fontId="33" fillId="3" borderId="1" xfId="5" applyNumberFormat="1" applyFont="1" applyFill="1" applyBorder="1"/>
    <xf numFmtId="172" fontId="33" fillId="0" borderId="0" xfId="8" applyNumberFormat="1" applyFont="1"/>
    <xf numFmtId="174" fontId="30" fillId="0" borderId="0" xfId="7" applyNumberFormat="1" applyFont="1"/>
    <xf numFmtId="3" fontId="33" fillId="0" borderId="0" xfId="5" applyNumberFormat="1" applyFont="1" applyAlignment="1">
      <alignment vertical="center" wrapText="1"/>
    </xf>
    <xf numFmtId="0" fontId="30" fillId="15" borderId="4" xfId="5" applyFont="1" applyFill="1" applyBorder="1" applyAlignment="1">
      <alignment wrapText="1"/>
    </xf>
    <xf numFmtId="3" fontId="33" fillId="15" borderId="1" xfId="5" applyNumberFormat="1" applyFont="1" applyFill="1" applyBorder="1" applyAlignment="1">
      <alignment vertical="center" wrapText="1"/>
    </xf>
    <xf numFmtId="3" fontId="30" fillId="15" borderId="4" xfId="5" applyNumberFormat="1" applyFont="1" applyFill="1" applyBorder="1"/>
    <xf numFmtId="0" fontId="34" fillId="15" borderId="4" xfId="5" applyFont="1" applyFill="1" applyBorder="1" applyAlignment="1">
      <alignment vertical="center" wrapText="1"/>
    </xf>
    <xf numFmtId="3" fontId="34" fillId="15" borderId="1" xfId="5" applyNumberFormat="1" applyFont="1" applyFill="1" applyBorder="1" applyAlignment="1">
      <alignment vertical="center" wrapText="1"/>
    </xf>
    <xf numFmtId="3" fontId="34" fillId="13" borderId="1" xfId="5" applyNumberFormat="1" applyFont="1" applyFill="1" applyBorder="1" applyAlignment="1">
      <alignment vertical="center"/>
    </xf>
    <xf numFmtId="0" fontId="35" fillId="0" borderId="0" xfId="5" applyFont="1" applyAlignment="1">
      <alignment vertical="center"/>
    </xf>
    <xf numFmtId="172" fontId="35" fillId="0" borderId="0" xfId="8" applyNumberFormat="1" applyFont="1" applyAlignment="1">
      <alignment vertical="center"/>
    </xf>
    <xf numFmtId="0" fontId="37" fillId="3" borderId="1" xfId="5" applyFont="1" applyFill="1" applyBorder="1"/>
    <xf numFmtId="172" fontId="30" fillId="0" borderId="0" xfId="8" applyNumberFormat="1" applyFont="1" applyFill="1"/>
    <xf numFmtId="0" fontId="30" fillId="0" borderId="1" xfId="5" applyFont="1" applyBorder="1" applyAlignment="1">
      <alignment wrapText="1"/>
    </xf>
    <xf numFmtId="3" fontId="33" fillId="16" borderId="1" xfId="5" applyNumberFormat="1" applyFont="1" applyFill="1" applyBorder="1"/>
    <xf numFmtId="0" fontId="33" fillId="0" borderId="4" xfId="5" applyFont="1" applyBorder="1" applyAlignment="1">
      <alignment vertical="center" wrapText="1"/>
    </xf>
    <xf numFmtId="3" fontId="33" fillId="0" borderId="0" xfId="5" applyNumberFormat="1" applyFont="1"/>
    <xf numFmtId="0" fontId="33" fillId="0" borderId="5" xfId="5" applyFont="1" applyBorder="1"/>
    <xf numFmtId="3" fontId="37" fillId="16" borderId="19" xfId="5" applyNumberFormat="1" applyFont="1" applyFill="1" applyBorder="1" applyAlignment="1">
      <alignment vertical="center" wrapText="1"/>
    </xf>
    <xf numFmtId="3" fontId="30" fillId="0" borderId="5" xfId="5" applyNumberFormat="1" applyFont="1" applyBorder="1"/>
    <xf numFmtId="3" fontId="30" fillId="0" borderId="18" xfId="5" applyNumberFormat="1" applyFont="1" applyBorder="1"/>
    <xf numFmtId="0" fontId="30" fillId="0" borderId="18" xfId="5" applyFont="1" applyBorder="1"/>
    <xf numFmtId="172" fontId="30" fillId="0" borderId="18" xfId="8" applyNumberFormat="1" applyFont="1" applyBorder="1"/>
    <xf numFmtId="0" fontId="38" fillId="0" borderId="0" xfId="5" applyFont="1" applyAlignment="1">
      <alignment horizontal="left" vertical="center" wrapText="1"/>
    </xf>
    <xf numFmtId="10" fontId="2" fillId="0" borderId="0" xfId="7" applyNumberFormat="1" applyFont="1"/>
    <xf numFmtId="172" fontId="2" fillId="0" borderId="0" xfId="8" applyNumberFormat="1" applyFont="1"/>
    <xf numFmtId="0" fontId="39" fillId="0" borderId="0" xfId="5" applyFont="1"/>
    <xf numFmtId="0" fontId="40" fillId="0" borderId="0" xfId="5" applyFont="1"/>
    <xf numFmtId="0" fontId="41" fillId="0" borderId="0" xfId="5" applyFont="1"/>
    <xf numFmtId="0" fontId="42" fillId="0" borderId="0" xfId="5" applyFont="1"/>
    <xf numFmtId="169" fontId="41" fillId="0" borderId="0" xfId="5" applyNumberFormat="1" applyFont="1" applyAlignment="1">
      <alignment horizontal="center" vertical="center"/>
    </xf>
    <xf numFmtId="0" fontId="41" fillId="0" borderId="0" xfId="5" applyFont="1" applyAlignment="1">
      <alignment horizontal="center" vertical="center"/>
    </xf>
    <xf numFmtId="169" fontId="41" fillId="0" borderId="0" xfId="5" applyNumberFormat="1" applyFont="1"/>
    <xf numFmtId="0" fontId="43" fillId="0" borderId="1" xfId="5" applyFont="1" applyBorder="1" applyAlignment="1">
      <alignment horizontal="center" vertical="center"/>
    </xf>
    <xf numFmtId="0" fontId="44" fillId="0" borderId="1" xfId="5" applyFont="1" applyBorder="1" applyAlignment="1">
      <alignment horizontal="center" wrapText="1"/>
    </xf>
    <xf numFmtId="0" fontId="39" fillId="0" borderId="0" xfId="5" applyFont="1" applyAlignment="1">
      <alignment horizontal="center"/>
    </xf>
    <xf numFmtId="0" fontId="38" fillId="0" borderId="0" xfId="5" applyFont="1"/>
    <xf numFmtId="0" fontId="37" fillId="0" borderId="0" xfId="5" applyFont="1" applyAlignment="1">
      <alignment horizontal="center" vertical="center" wrapText="1"/>
    </xf>
    <xf numFmtId="10" fontId="41" fillId="0" borderId="0" xfId="7" applyNumberFormat="1" applyFont="1"/>
    <xf numFmtId="0" fontId="44" fillId="0" borderId="1" xfId="5" applyFont="1" applyBorder="1"/>
    <xf numFmtId="3" fontId="40" fillId="0" borderId="0" xfId="5" applyNumberFormat="1" applyFont="1"/>
    <xf numFmtId="169" fontId="38" fillId="0" borderId="0" xfId="5" applyNumberFormat="1" applyFont="1" applyAlignment="1">
      <alignment horizontal="center"/>
    </xf>
    <xf numFmtId="169" fontId="2" fillId="0" borderId="0" xfId="5" applyNumberFormat="1"/>
    <xf numFmtId="165" fontId="42" fillId="0" borderId="0" xfId="5" applyNumberFormat="1" applyFont="1"/>
    <xf numFmtId="172" fontId="42" fillId="0" borderId="0" xfId="8" applyNumberFormat="1" applyFont="1"/>
    <xf numFmtId="0" fontId="38" fillId="0" borderId="0" xfId="5" applyFont="1" applyAlignment="1">
      <alignment wrapText="1"/>
    </xf>
    <xf numFmtId="172" fontId="41" fillId="0" borderId="0" xfId="8" applyNumberFormat="1" applyFont="1"/>
    <xf numFmtId="10" fontId="41" fillId="0" borderId="0" xfId="9" applyNumberFormat="1" applyFont="1" applyFill="1" applyBorder="1"/>
    <xf numFmtId="0" fontId="45" fillId="0" borderId="0" xfId="5" applyFont="1" applyAlignment="1">
      <alignment wrapText="1"/>
    </xf>
    <xf numFmtId="43" fontId="47" fillId="0" borderId="0" xfId="8" applyFont="1"/>
    <xf numFmtId="0" fontId="41" fillId="0" borderId="0" xfId="5" applyFont="1" applyAlignment="1">
      <alignment horizontal="left" vertical="center" wrapText="1"/>
    </xf>
    <xf numFmtId="3" fontId="30" fillId="0" borderId="0" xfId="6" applyNumberFormat="1" applyFont="1"/>
    <xf numFmtId="165" fontId="30" fillId="0" borderId="0" xfId="6" applyNumberFormat="1" applyFont="1"/>
    <xf numFmtId="0" fontId="30" fillId="0" borderId="0" xfId="6" applyFont="1"/>
    <xf numFmtId="0" fontId="44" fillId="0" borderId="1" xfId="5" applyFont="1" applyBorder="1" applyAlignment="1">
      <alignment horizontal="center" vertical="center"/>
    </xf>
    <xf numFmtId="0" fontId="48" fillId="0" borderId="1" xfId="5" applyFont="1" applyBorder="1" applyAlignment="1">
      <alignment horizontal="center" vertical="center" wrapText="1"/>
    </xf>
    <xf numFmtId="0" fontId="48" fillId="0" borderId="4" xfId="5" applyFont="1" applyBorder="1" applyAlignment="1">
      <alignment horizontal="center" vertical="center" wrapText="1"/>
    </xf>
    <xf numFmtId="0" fontId="43" fillId="0" borderId="1" xfId="6" applyFont="1" applyBorder="1" applyAlignment="1">
      <alignment horizontal="center" vertical="center" wrapText="1"/>
    </xf>
    <xf numFmtId="0" fontId="43" fillId="0" borderId="1" xfId="5" applyFont="1" applyBorder="1" applyAlignment="1">
      <alignment horizontal="center" vertical="center" wrapText="1"/>
    </xf>
    <xf numFmtId="0" fontId="48" fillId="0" borderId="0" xfId="5" applyFont="1"/>
    <xf numFmtId="172" fontId="47" fillId="0" borderId="0" xfId="8" applyNumberFormat="1" applyFont="1"/>
    <xf numFmtId="0" fontId="47" fillId="0" borderId="0" xfId="5" applyFont="1"/>
    <xf numFmtId="10" fontId="44" fillId="13" borderId="1" xfId="5" applyNumberFormat="1" applyFont="1" applyFill="1" applyBorder="1" applyAlignment="1">
      <alignment horizontal="center"/>
    </xf>
    <xf numFmtId="3" fontId="44" fillId="0" borderId="1" xfId="5" applyNumberFormat="1" applyFont="1" applyBorder="1" applyAlignment="1">
      <alignment horizontal="center"/>
    </xf>
    <xf numFmtId="2" fontId="48" fillId="0" borderId="1" xfId="5" applyNumberFormat="1" applyFont="1" applyBorder="1" applyAlignment="1">
      <alignment horizontal="center"/>
    </xf>
    <xf numFmtId="3" fontId="48" fillId="0" borderId="1" xfId="6" applyNumberFormat="1" applyFont="1" applyBorder="1" applyAlignment="1">
      <alignment horizontal="center"/>
    </xf>
    <xf numFmtId="170" fontId="48" fillId="0" borderId="1" xfId="5" applyNumberFormat="1" applyFont="1" applyBorder="1" applyAlignment="1">
      <alignment horizontal="center"/>
    </xf>
    <xf numFmtId="3" fontId="43" fillId="0" borderId="1" xfId="6" applyNumberFormat="1" applyFont="1" applyBorder="1" applyAlignment="1">
      <alignment horizontal="center"/>
    </xf>
    <xf numFmtId="2" fontId="48" fillId="0" borderId="0" xfId="7" applyNumberFormat="1" applyFont="1" applyFill="1"/>
    <xf numFmtId="0" fontId="48" fillId="0" borderId="0" xfId="5" applyFont="1" applyAlignment="1">
      <alignment horizontal="center"/>
    </xf>
    <xf numFmtId="3" fontId="43" fillId="0" borderId="1" xfId="5" applyNumberFormat="1" applyFont="1" applyBorder="1" applyAlignment="1">
      <alignment horizontal="center"/>
    </xf>
    <xf numFmtId="0" fontId="43" fillId="13" borderId="1" xfId="6" applyFont="1" applyFill="1" applyBorder="1" applyAlignment="1">
      <alignment horizontal="center"/>
    </xf>
    <xf numFmtId="3" fontId="43" fillId="13" borderId="1" xfId="6" applyNumberFormat="1" applyFont="1" applyFill="1" applyBorder="1" applyAlignment="1">
      <alignment horizontal="center"/>
    </xf>
    <xf numFmtId="0" fontId="48" fillId="13" borderId="1" xfId="5" applyFont="1" applyFill="1" applyBorder="1" applyAlignment="1">
      <alignment horizontal="center"/>
    </xf>
    <xf numFmtId="0" fontId="45" fillId="0" borderId="0" xfId="5" applyFont="1"/>
    <xf numFmtId="0" fontId="43" fillId="0" borderId="1" xfId="5" applyFont="1" applyBorder="1" applyAlignment="1">
      <alignment horizontal="center"/>
    </xf>
    <xf numFmtId="169" fontId="43" fillId="13" borderId="1" xfId="6" applyNumberFormat="1" applyFont="1" applyFill="1" applyBorder="1" applyAlignment="1">
      <alignment horizontal="center"/>
    </xf>
    <xf numFmtId="175" fontId="43" fillId="13" borderId="1" xfId="8" applyNumberFormat="1" applyFont="1" applyFill="1" applyBorder="1" applyAlignment="1">
      <alignment horizontal="center"/>
    </xf>
    <xf numFmtId="9" fontId="49" fillId="0" borderId="0" xfId="5" applyNumberFormat="1" applyFont="1"/>
    <xf numFmtId="170" fontId="41" fillId="0" borderId="0" xfId="5" applyNumberFormat="1" applyFont="1"/>
    <xf numFmtId="169" fontId="30" fillId="0" borderId="0" xfId="6" applyNumberFormat="1" applyFont="1"/>
    <xf numFmtId="170" fontId="30" fillId="0" borderId="0" xfId="6" applyNumberFormat="1" applyFont="1"/>
    <xf numFmtId="0" fontId="50" fillId="0" borderId="0" xfId="5" applyFont="1"/>
    <xf numFmtId="9" fontId="51" fillId="0" borderId="0" xfId="5" applyNumberFormat="1" applyFont="1"/>
    <xf numFmtId="176" fontId="50" fillId="0" borderId="0" xfId="5" applyNumberFormat="1" applyFont="1"/>
    <xf numFmtId="0" fontId="52" fillId="0" borderId="0" xfId="5" applyFont="1"/>
    <xf numFmtId="0" fontId="37" fillId="0" borderId="0" xfId="5" applyFont="1"/>
    <xf numFmtId="0" fontId="53" fillId="18" borderId="1" xfId="5" applyFont="1" applyFill="1" applyBorder="1" applyAlignment="1">
      <alignment vertical="center" wrapText="1"/>
    </xf>
    <xf numFmtId="0" fontId="53" fillId="18" borderId="1" xfId="5" applyFont="1" applyFill="1" applyBorder="1" applyAlignment="1">
      <alignment horizontal="center" vertical="center"/>
    </xf>
    <xf numFmtId="0" fontId="53" fillId="18" borderId="1" xfId="5" applyFont="1" applyFill="1" applyBorder="1" applyAlignment="1">
      <alignment horizontal="center" vertical="center" wrapText="1"/>
    </xf>
    <xf numFmtId="0" fontId="53" fillId="0" borderId="0" xfId="5" applyFont="1" applyAlignment="1">
      <alignment horizontal="center" vertical="center" wrapText="1"/>
    </xf>
    <xf numFmtId="0" fontId="33" fillId="19" borderId="1" xfId="5" applyFont="1" applyFill="1" applyBorder="1"/>
    <xf numFmtId="0" fontId="30" fillId="19" borderId="1" xfId="5" applyFont="1" applyFill="1" applyBorder="1"/>
    <xf numFmtId="3" fontId="33" fillId="19" borderId="1" xfId="5" applyNumberFormat="1" applyFont="1" applyFill="1" applyBorder="1" applyAlignment="1">
      <alignment horizontal="center"/>
    </xf>
    <xf numFmtId="0" fontId="41" fillId="0" borderId="0" xfId="5" applyFont="1" applyAlignment="1">
      <alignment horizontal="center"/>
    </xf>
    <xf numFmtId="169" fontId="50" fillId="0" borderId="0" xfId="5" applyNumberFormat="1" applyFont="1"/>
    <xf numFmtId="3" fontId="51" fillId="0" borderId="0" xfId="5" applyNumberFormat="1" applyFont="1"/>
    <xf numFmtId="1" fontId="50" fillId="0" borderId="0" xfId="5" applyNumberFormat="1" applyFont="1"/>
    <xf numFmtId="0" fontId="43" fillId="0" borderId="0" xfId="5" applyFont="1"/>
    <xf numFmtId="0" fontId="44" fillId="0" borderId="0" xfId="5" applyFont="1"/>
    <xf numFmtId="0" fontId="39" fillId="0" borderId="1" xfId="5" applyFont="1" applyBorder="1" applyAlignment="1">
      <alignment horizontal="center"/>
    </xf>
    <xf numFmtId="3" fontId="44" fillId="0" borderId="1" xfId="5" applyNumberFormat="1" applyFont="1" applyBorder="1"/>
    <xf numFmtId="3" fontId="43" fillId="0" borderId="1" xfId="5" applyNumberFormat="1" applyFont="1" applyBorder="1"/>
    <xf numFmtId="3" fontId="44" fillId="0" borderId="0" xfId="5" applyNumberFormat="1" applyFont="1"/>
    <xf numFmtId="0" fontId="54" fillId="0" borderId="0" xfId="5" applyFont="1"/>
    <xf numFmtId="172" fontId="54" fillId="0" borderId="0" xfId="8" applyNumberFormat="1" applyFont="1"/>
    <xf numFmtId="0" fontId="55" fillId="0" borderId="0" xfId="5" applyFont="1"/>
    <xf numFmtId="0" fontId="49" fillId="0" borderId="0" xfId="5" applyFont="1"/>
    <xf numFmtId="0" fontId="33" fillId="20" borderId="1" xfId="5" applyFont="1" applyFill="1" applyBorder="1" applyAlignment="1">
      <alignment horizontal="center" vertical="center" wrapText="1"/>
    </xf>
    <xf numFmtId="0" fontId="33" fillId="21" borderId="1" xfId="5" applyFont="1" applyFill="1" applyBorder="1" applyAlignment="1">
      <alignment horizontal="center" vertical="center" wrapText="1"/>
    </xf>
    <xf numFmtId="174" fontId="2" fillId="0" borderId="0" xfId="7" applyNumberFormat="1" applyFont="1"/>
    <xf numFmtId="3" fontId="30" fillId="0" borderId="1" xfId="5" applyNumberFormat="1" applyFont="1" applyBorder="1" applyAlignment="1">
      <alignment horizontal="center" vertical="center"/>
    </xf>
    <xf numFmtId="3" fontId="30" fillId="0" borderId="4" xfId="5" applyNumberFormat="1" applyFont="1" applyBorder="1" applyAlignment="1">
      <alignment horizontal="center" vertical="center" wrapText="1"/>
    </xf>
    <xf numFmtId="0" fontId="30" fillId="0" borderId="0" xfId="5" applyFont="1" applyAlignment="1">
      <alignment horizontal="center" vertical="center"/>
    </xf>
    <xf numFmtId="3" fontId="48" fillId="0" borderId="0" xfId="5" applyNumberFormat="1" applyFont="1"/>
    <xf numFmtId="0" fontId="56" fillId="0" borderId="0" xfId="0" applyFont="1"/>
    <xf numFmtId="0" fontId="6" fillId="3" borderId="1" xfId="0" applyFont="1" applyFill="1" applyBorder="1" applyAlignment="1">
      <alignment vertical="center"/>
    </xf>
    <xf numFmtId="0" fontId="3" fillId="22" borderId="1" xfId="0" applyFont="1" applyFill="1" applyBorder="1" applyAlignment="1">
      <alignment horizontal="center" vertical="center" wrapText="1"/>
    </xf>
    <xf numFmtId="0" fontId="3" fillId="22" borderId="4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/>
    </xf>
    <xf numFmtId="0" fontId="6" fillId="23" borderId="1" xfId="0" applyFont="1" applyFill="1" applyBorder="1"/>
    <xf numFmtId="0" fontId="3" fillId="23" borderId="1" xfId="0" applyFont="1" applyFill="1" applyBorder="1"/>
    <xf numFmtId="0" fontId="6" fillId="23" borderId="1" xfId="0" applyFont="1" applyFill="1" applyBorder="1" applyAlignment="1">
      <alignment horizontal="center"/>
    </xf>
    <xf numFmtId="4" fontId="6" fillId="15" borderId="1" xfId="0" applyNumberFormat="1" applyFont="1" applyFill="1" applyBorder="1" applyAlignment="1">
      <alignment horizontal="right"/>
    </xf>
    <xf numFmtId="2" fontId="3" fillId="0" borderId="0" xfId="0" applyNumberFormat="1" applyFont="1" applyAlignment="1">
      <alignment horizontal="center"/>
    </xf>
    <xf numFmtId="0" fontId="6" fillId="2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6" fillId="23" borderId="4" xfId="0" applyFont="1" applyFill="1" applyBorder="1" applyAlignment="1">
      <alignment horizontal="center"/>
    </xf>
    <xf numFmtId="0" fontId="6" fillId="23" borderId="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31" xfId="0" applyFont="1" applyBorder="1"/>
    <xf numFmtId="0" fontId="3" fillId="0" borderId="4" xfId="0" applyFont="1" applyBorder="1" applyAlignment="1">
      <alignment wrapText="1"/>
    </xf>
    <xf numFmtId="4" fontId="6" fillId="0" borderId="1" xfId="0" applyNumberFormat="1" applyFont="1" applyBorder="1"/>
    <xf numFmtId="4" fontId="3" fillId="0" borderId="1" xfId="3" applyNumberFormat="1" applyFont="1" applyBorder="1"/>
    <xf numFmtId="0" fontId="6" fillId="0" borderId="4" xfId="0" applyFont="1" applyBorder="1"/>
    <xf numFmtId="4" fontId="6" fillId="0" borderId="7" xfId="0" applyNumberFormat="1" applyFont="1" applyBorder="1"/>
    <xf numFmtId="0" fontId="30" fillId="0" borderId="0" xfId="11" applyFont="1"/>
    <xf numFmtId="0" fontId="2" fillId="0" borderId="0" xfId="11"/>
    <xf numFmtId="1" fontId="3" fillId="0" borderId="0" xfId="10" applyNumberFormat="1" applyFont="1"/>
    <xf numFmtId="0" fontId="6" fillId="3" borderId="1" xfId="5" applyFont="1" applyFill="1" applyBorder="1" applyAlignment="1">
      <alignment vertical="center"/>
    </xf>
    <xf numFmtId="0" fontId="6" fillId="3" borderId="7" xfId="5" applyFont="1" applyFill="1" applyBorder="1" applyAlignment="1">
      <alignment horizontal="center" vertical="center"/>
    </xf>
    <xf numFmtId="0" fontId="3" fillId="3" borderId="1" xfId="5" applyFont="1" applyFill="1" applyBorder="1" applyAlignment="1">
      <alignment horizontal="right" vertical="center"/>
    </xf>
    <xf numFmtId="0" fontId="3" fillId="3" borderId="1" xfId="5" applyFont="1" applyFill="1" applyBorder="1" applyAlignment="1">
      <alignment vertical="center"/>
    </xf>
    <xf numFmtId="3" fontId="57" fillId="0" borderId="0" xfId="5" applyNumberFormat="1" applyFont="1"/>
    <xf numFmtId="0" fontId="3" fillId="15" borderId="1" xfId="5" applyFont="1" applyFill="1" applyBorder="1"/>
    <xf numFmtId="3" fontId="6" fillId="15" borderId="1" xfId="5" applyNumberFormat="1" applyFont="1" applyFill="1" applyBorder="1"/>
    <xf numFmtId="10" fontId="3" fillId="0" borderId="0" xfId="7" applyNumberFormat="1" applyFont="1"/>
    <xf numFmtId="4" fontId="3" fillId="0" borderId="0" xfId="7" applyNumberFormat="1" applyFont="1"/>
    <xf numFmtId="4" fontId="3" fillId="0" borderId="0" xfId="5" applyNumberFormat="1" applyFont="1"/>
    <xf numFmtId="43" fontId="3" fillId="0" borderId="0" xfId="8" applyFont="1"/>
    <xf numFmtId="4" fontId="3" fillId="0" borderId="0" xfId="7" applyNumberFormat="1" applyFont="1" applyFill="1"/>
    <xf numFmtId="3" fontId="3" fillId="16" borderId="1" xfId="5" applyNumberFormat="1" applyFont="1" applyFill="1" applyBorder="1"/>
    <xf numFmtId="3" fontId="6" fillId="16" borderId="1" xfId="5" applyNumberFormat="1" applyFont="1" applyFill="1" applyBorder="1"/>
    <xf numFmtId="3" fontId="3" fillId="7" borderId="1" xfId="5" applyNumberFormat="1" applyFont="1" applyFill="1" applyBorder="1"/>
    <xf numFmtId="2" fontId="3" fillId="0" borderId="0" xfId="7" applyNumberFormat="1" applyFont="1"/>
    <xf numFmtId="2" fontId="3" fillId="0" borderId="0" xfId="5" applyNumberFormat="1" applyFont="1"/>
    <xf numFmtId="170" fontId="3" fillId="0" borderId="1" xfId="5" applyNumberFormat="1" applyFont="1" applyBorder="1"/>
    <xf numFmtId="170" fontId="6" fillId="16" borderId="1" xfId="5" applyNumberFormat="1" applyFont="1" applyFill="1" applyBorder="1"/>
    <xf numFmtId="0" fontId="6" fillId="3" borderId="1" xfId="5" applyFont="1" applyFill="1" applyBorder="1" applyAlignment="1">
      <alignment horizontal="center" vertical="center"/>
    </xf>
    <xf numFmtId="0" fontId="3" fillId="3" borderId="1" xfId="5" applyFont="1" applyFill="1" applyBorder="1" applyAlignment="1">
      <alignment horizontal="center" vertical="center"/>
    </xf>
    <xf numFmtId="170" fontId="6" fillId="0" borderId="1" xfId="5" applyNumberFormat="1" applyFont="1" applyBorder="1"/>
    <xf numFmtId="0" fontId="3" fillId="0" borderId="16" xfId="5" applyFont="1" applyBorder="1"/>
    <xf numFmtId="0" fontId="3" fillId="0" borderId="32" xfId="5" applyFont="1" applyBorder="1"/>
    <xf numFmtId="0" fontId="3" fillId="0" borderId="3" xfId="5" applyFont="1" applyBorder="1" applyAlignment="1">
      <alignment horizontal="center"/>
    </xf>
    <xf numFmtId="0" fontId="3" fillId="0" borderId="33" xfId="5" applyFont="1" applyBorder="1" applyAlignment="1">
      <alignment horizontal="center"/>
    </xf>
    <xf numFmtId="0" fontId="3" fillId="0" borderId="34" xfId="5" applyFont="1" applyBorder="1"/>
    <xf numFmtId="177" fontId="3" fillId="0" borderId="1" xfId="8" applyNumberFormat="1" applyFont="1" applyFill="1" applyBorder="1"/>
    <xf numFmtId="43" fontId="3" fillId="0" borderId="1" xfId="8" applyFont="1" applyFill="1" applyBorder="1" applyAlignment="1">
      <alignment horizontal="right"/>
    </xf>
    <xf numFmtId="43" fontId="3" fillId="0" borderId="35" xfId="8" applyFont="1" applyFill="1" applyBorder="1" applyAlignment="1">
      <alignment horizontal="right"/>
    </xf>
    <xf numFmtId="178" fontId="3" fillId="0" borderId="0" xfId="5" applyNumberFormat="1" applyFont="1"/>
    <xf numFmtId="0" fontId="3" fillId="0" borderId="36" xfId="5" applyFont="1" applyBorder="1"/>
    <xf numFmtId="177" fontId="3" fillId="0" borderId="37" xfId="8" applyNumberFormat="1" applyFont="1" applyFill="1" applyBorder="1"/>
    <xf numFmtId="43" fontId="3" fillId="0" borderId="37" xfId="8" applyFont="1" applyFill="1" applyBorder="1" applyAlignment="1">
      <alignment horizontal="right"/>
    </xf>
    <xf numFmtId="43" fontId="3" fillId="0" borderId="38" xfId="8" applyFont="1" applyFill="1" applyBorder="1" applyAlignment="1">
      <alignment horizontal="right"/>
    </xf>
    <xf numFmtId="0" fontId="6" fillId="3" borderId="1" xfId="5" applyFont="1" applyFill="1" applyBorder="1" applyAlignment="1">
      <alignment vertical="center" wrapText="1"/>
    </xf>
    <xf numFmtId="0" fontId="3" fillId="0" borderId="0" xfId="5" applyFont="1" applyAlignment="1">
      <alignment vertical="center"/>
    </xf>
    <xf numFmtId="0" fontId="3" fillId="0" borderId="4" xfId="5" applyFont="1" applyBorder="1"/>
    <xf numFmtId="169" fontId="3" fillId="0" borderId="1" xfId="5" applyNumberFormat="1" applyFont="1" applyBorder="1" applyAlignment="1">
      <alignment horizontal="center"/>
    </xf>
    <xf numFmtId="0" fontId="3" fillId="13" borderId="4" xfId="5" applyFont="1" applyFill="1" applyBorder="1"/>
    <xf numFmtId="169" fontId="3" fillId="13" borderId="1" xfId="5" applyNumberFormat="1" applyFont="1" applyFill="1" applyBorder="1" applyAlignment="1">
      <alignment horizontal="center"/>
    </xf>
    <xf numFmtId="169" fontId="3" fillId="0" borderId="1" xfId="11" applyNumberFormat="1" applyFont="1" applyBorder="1" applyAlignment="1">
      <alignment horizontal="center"/>
    </xf>
    <xf numFmtId="0" fontId="3" fillId="0" borderId="4" xfId="5" applyFont="1" applyBorder="1" applyAlignment="1">
      <alignment wrapText="1"/>
    </xf>
    <xf numFmtId="169" fontId="3" fillId="13" borderId="4" xfId="5" applyNumberFormat="1" applyFont="1" applyFill="1" applyBorder="1" applyAlignment="1">
      <alignment horizontal="center"/>
    </xf>
    <xf numFmtId="169" fontId="3" fillId="0" borderId="4" xfId="5" applyNumberFormat="1" applyFont="1" applyBorder="1" applyAlignment="1">
      <alignment horizontal="center"/>
    </xf>
    <xf numFmtId="0" fontId="5" fillId="0" borderId="0" xfId="5" applyFont="1" applyAlignment="1">
      <alignment vertical="top" wrapText="1"/>
    </xf>
    <xf numFmtId="3" fontId="6" fillId="0" borderId="1" xfId="5" applyNumberFormat="1" applyFont="1" applyBorder="1"/>
    <xf numFmtId="170" fontId="3" fillId="0" borderId="1" xfId="8" applyNumberFormat="1" applyFont="1" applyFill="1" applyBorder="1"/>
    <xf numFmtId="3" fontId="6" fillId="13" borderId="1" xfId="5" applyNumberFormat="1" applyFont="1" applyFill="1" applyBorder="1"/>
    <xf numFmtId="0" fontId="6" fillId="3" borderId="1" xfId="5" applyFont="1" applyFill="1" applyBorder="1" applyAlignment="1">
      <alignment horizontal="left" vertical="center"/>
    </xf>
    <xf numFmtId="0" fontId="3" fillId="3" borderId="0" xfId="5" applyFont="1" applyFill="1"/>
    <xf numFmtId="3" fontId="3" fillId="0" borderId="4" xfId="5" applyNumberFormat="1" applyFont="1" applyBorder="1"/>
    <xf numFmtId="0" fontId="6" fillId="15" borderId="1" xfId="5" applyFont="1" applyFill="1" applyBorder="1"/>
    <xf numFmtId="169" fontId="3" fillId="0" borderId="1" xfId="5" applyNumberFormat="1" applyFont="1" applyBorder="1"/>
    <xf numFmtId="171" fontId="3" fillId="0" borderId="1" xfId="5" applyNumberFormat="1" applyFont="1" applyBorder="1"/>
    <xf numFmtId="175" fontId="3" fillId="0" borderId="1" xfId="8" applyNumberFormat="1" applyFont="1" applyFill="1" applyBorder="1"/>
    <xf numFmtId="0" fontId="6" fillId="0" borderId="1" xfId="5" applyFont="1" applyBorder="1" applyAlignment="1">
      <alignment horizontal="center" vertical="center"/>
    </xf>
    <xf numFmtId="0" fontId="3" fillId="3" borderId="20" xfId="5" applyFont="1" applyFill="1" applyBorder="1"/>
    <xf numFmtId="0" fontId="3" fillId="3" borderId="7" xfId="5" applyFont="1" applyFill="1" applyBorder="1"/>
    <xf numFmtId="170" fontId="3" fillId="0" borderId="4" xfId="5" applyNumberFormat="1" applyFont="1" applyBorder="1"/>
    <xf numFmtId="172" fontId="3" fillId="0" borderId="1" xfId="8" applyNumberFormat="1" applyFont="1" applyFill="1" applyBorder="1"/>
    <xf numFmtId="3" fontId="6" fillId="0" borderId="4" xfId="5" applyNumberFormat="1" applyFont="1" applyBorder="1"/>
    <xf numFmtId="0" fontId="6" fillId="0" borderId="0" xfId="5" applyFont="1"/>
    <xf numFmtId="3" fontId="6" fillId="0" borderId="0" xfId="5" applyNumberFormat="1" applyFont="1"/>
    <xf numFmtId="169" fontId="3" fillId="0" borderId="4" xfId="5" applyNumberFormat="1" applyFont="1" applyBorder="1"/>
    <xf numFmtId="171" fontId="3" fillId="0" borderId="4" xfId="5" applyNumberFormat="1" applyFont="1" applyBorder="1"/>
    <xf numFmtId="9" fontId="3" fillId="0" borderId="0" xfId="7" applyFont="1"/>
    <xf numFmtId="173" fontId="3" fillId="0" borderId="39" xfId="5" applyNumberFormat="1" applyFont="1" applyBorder="1"/>
    <xf numFmtId="173" fontId="3" fillId="0" borderId="1" xfId="5" applyNumberFormat="1" applyFont="1" applyBorder="1"/>
    <xf numFmtId="172" fontId="3" fillId="0" borderId="1" xfId="8" applyNumberFormat="1" applyFont="1" applyBorder="1"/>
    <xf numFmtId="3" fontId="6" fillId="3" borderId="4" xfId="5" applyNumberFormat="1" applyFont="1" applyFill="1" applyBorder="1"/>
    <xf numFmtId="0" fontId="3" fillId="0" borderId="20" xfId="5" applyFont="1" applyBorder="1"/>
    <xf numFmtId="3" fontId="3" fillId="0" borderId="20" xfId="5" applyNumberFormat="1" applyFont="1" applyBorder="1"/>
    <xf numFmtId="172" fontId="3" fillId="0" borderId="20" xfId="8" applyNumberFormat="1" applyFont="1" applyFill="1" applyBorder="1"/>
    <xf numFmtId="3" fontId="3" fillId="0" borderId="7" xfId="5" applyNumberFormat="1" applyFont="1" applyBorder="1"/>
    <xf numFmtId="0" fontId="3" fillId="0" borderId="0" xfId="5" applyFont="1" applyAlignment="1">
      <alignment horizontal="center"/>
    </xf>
    <xf numFmtId="3" fontId="3" fillId="0" borderId="0" xfId="5" applyNumberFormat="1" applyFont="1" applyAlignment="1">
      <alignment horizontal="center"/>
    </xf>
    <xf numFmtId="0" fontId="3" fillId="0" borderId="0" xfId="11" applyFont="1"/>
    <xf numFmtId="0" fontId="3" fillId="0" borderId="0" xfId="5" applyFont="1" applyAlignment="1">
      <alignment horizontal="justify" vertical="center" wrapText="1"/>
    </xf>
    <xf numFmtId="3" fontId="33" fillId="0" borderId="0" xfId="5" applyNumberFormat="1" applyFont="1" applyAlignment="1">
      <alignment horizontal="center" vertical="center"/>
    </xf>
    <xf numFmtId="3" fontId="30" fillId="0" borderId="1" xfId="5" applyNumberFormat="1" applyFont="1" applyBorder="1" applyAlignment="1">
      <alignment horizontal="center" vertical="center" wrapText="1"/>
    </xf>
    <xf numFmtId="4" fontId="58" fillId="0" borderId="0" xfId="5" applyNumberFormat="1" applyFont="1"/>
    <xf numFmtId="4" fontId="59" fillId="0" borderId="0" xfId="5" applyNumberFormat="1" applyFont="1"/>
    <xf numFmtId="4" fontId="60" fillId="0" borderId="0" xfId="5" applyNumberFormat="1" applyFont="1"/>
    <xf numFmtId="0" fontId="33" fillId="0" borderId="0" xfId="5" applyFont="1" applyAlignment="1">
      <alignment vertical="center"/>
    </xf>
    <xf numFmtId="3" fontId="43" fillId="0" borderId="1" xfId="5" applyNumberFormat="1" applyFont="1" applyBorder="1" applyAlignment="1">
      <alignment horizontal="center" vertical="center"/>
    </xf>
    <xf numFmtId="3" fontId="44" fillId="0" borderId="1" xfId="5" applyNumberFormat="1" applyFont="1" applyBorder="1" applyAlignment="1">
      <alignment horizontal="center" vertical="center"/>
    </xf>
    <xf numFmtId="0" fontId="46" fillId="0" borderId="0" xfId="5" applyFont="1"/>
    <xf numFmtId="3" fontId="41" fillId="0" borderId="0" xfId="5" applyNumberFormat="1" applyFont="1" applyAlignment="1">
      <alignment horizontal="center"/>
    </xf>
    <xf numFmtId="0" fontId="48" fillId="0" borderId="4" xfId="5" applyFont="1" applyBorder="1" applyAlignment="1">
      <alignment horizontal="center"/>
    </xf>
    <xf numFmtId="3" fontId="30" fillId="0" borderId="1" xfId="5" applyNumberFormat="1" applyFont="1" applyBorder="1" applyAlignment="1">
      <alignment horizontal="center"/>
    </xf>
    <xf numFmtId="181" fontId="52" fillId="0" borderId="0" xfId="12" applyNumberFormat="1" applyFont="1" applyFill="1" applyBorder="1" applyAlignment="1">
      <alignment horizontal="center" vertical="center"/>
    </xf>
    <xf numFmtId="2" fontId="43" fillId="13" borderId="1" xfId="5" applyNumberFormat="1" applyFont="1" applyFill="1" applyBorder="1" applyAlignment="1">
      <alignment horizontal="center"/>
    </xf>
    <xf numFmtId="182" fontId="3" fillId="0" borderId="0" xfId="0" applyNumberFormat="1" applyFont="1"/>
    <xf numFmtId="0" fontId="5" fillId="0" borderId="0" xfId="5" applyFont="1" applyAlignment="1">
      <alignment vertical="center"/>
    </xf>
    <xf numFmtId="0" fontId="5" fillId="0" borderId="0" xfId="5" applyFont="1" applyAlignment="1">
      <alignment vertical="center" wrapText="1"/>
    </xf>
    <xf numFmtId="0" fontId="6" fillId="0" borderId="0" xfId="6" applyFont="1" applyAlignment="1">
      <alignment horizontal="center"/>
    </xf>
    <xf numFmtId="0" fontId="6" fillId="0" borderId="1" xfId="6" applyFont="1" applyBorder="1" applyAlignment="1">
      <alignment horizontal="center"/>
    </xf>
    <xf numFmtId="0" fontId="6" fillId="15" borderId="31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9" fontId="3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 vertical="top"/>
    </xf>
    <xf numFmtId="0" fontId="6" fillId="15" borderId="3" xfId="0" applyFont="1" applyFill="1" applyBorder="1"/>
    <xf numFmtId="0" fontId="3" fillId="0" borderId="5" xfId="0" applyFont="1" applyBorder="1" applyAlignment="1">
      <alignment horizontal="left"/>
    </xf>
    <xf numFmtId="0" fontId="6" fillId="15" borderId="1" xfId="0" applyFont="1" applyFill="1" applyBorder="1"/>
    <xf numFmtId="3" fontId="6" fillId="0" borderId="1" xfId="6" applyNumberFormat="1" applyFont="1" applyBorder="1"/>
    <xf numFmtId="3" fontId="3" fillId="0" borderId="0" xfId="6" applyNumberFormat="1" applyFont="1"/>
    <xf numFmtId="0" fontId="6" fillId="15" borderId="1" xfId="6" applyFont="1" applyFill="1" applyBorder="1"/>
    <xf numFmtId="3" fontId="6" fillId="15" borderId="1" xfId="6" applyNumberFormat="1" applyFont="1" applyFill="1" applyBorder="1"/>
    <xf numFmtId="164" fontId="3" fillId="26" borderId="1" xfId="1" applyNumberFormat="1" applyFont="1" applyFill="1" applyBorder="1"/>
    <xf numFmtId="0" fontId="63" fillId="27" borderId="0" xfId="6" applyFont="1" applyFill="1"/>
    <xf numFmtId="0" fontId="30" fillId="27" borderId="0" xfId="6" applyFont="1" applyFill="1"/>
    <xf numFmtId="0" fontId="64" fillId="0" borderId="0" xfId="6" applyFont="1"/>
    <xf numFmtId="0" fontId="65" fillId="0" borderId="0" xfId="6" applyFont="1"/>
    <xf numFmtId="0" fontId="66" fillId="0" borderId="0" xfId="11" applyFont="1"/>
    <xf numFmtId="0" fontId="67" fillId="0" borderId="0" xfId="11" applyFont="1"/>
    <xf numFmtId="0" fontId="33" fillId="0" borderId="0" xfId="11" applyFont="1"/>
    <xf numFmtId="0" fontId="30" fillId="28" borderId="1" xfId="11" applyFont="1" applyFill="1" applyBorder="1"/>
    <xf numFmtId="177" fontId="30" fillId="0" borderId="0" xfId="6" applyNumberFormat="1" applyFont="1"/>
    <xf numFmtId="0" fontId="30" fillId="0" borderId="1" xfId="11" applyFont="1" applyBorder="1"/>
    <xf numFmtId="0" fontId="45" fillId="0" borderId="0" xfId="11" applyFont="1"/>
    <xf numFmtId="1" fontId="30" fillId="0" borderId="0" xfId="8" applyNumberFormat="1" applyFont="1" applyFill="1" applyBorder="1"/>
    <xf numFmtId="0" fontId="45" fillId="0" borderId="0" xfId="11" applyFont="1" applyAlignment="1">
      <alignment horizontal="left" vertical="top" wrapText="1"/>
    </xf>
    <xf numFmtId="1" fontId="67" fillId="0" borderId="0" xfId="8" applyNumberFormat="1" applyFont="1" applyFill="1" applyBorder="1"/>
    <xf numFmtId="177" fontId="30" fillId="0" borderId="1" xfId="8" applyNumberFormat="1" applyFont="1" applyFill="1" applyBorder="1" applyAlignment="1">
      <alignment horizontal="center" vertical="center"/>
    </xf>
    <xf numFmtId="0" fontId="66" fillId="30" borderId="1" xfId="11" applyFont="1" applyFill="1" applyBorder="1" applyAlignment="1">
      <alignment vertical="center" wrapText="1"/>
    </xf>
    <xf numFmtId="177" fontId="68" fillId="22" borderId="1" xfId="8" applyNumberFormat="1" applyFont="1" applyFill="1" applyBorder="1" applyAlignment="1">
      <alignment horizontal="center" vertical="center" wrapText="1"/>
    </xf>
    <xf numFmtId="0" fontId="30" fillId="31" borderId="1" xfId="6" applyFont="1" applyFill="1" applyBorder="1" applyAlignment="1">
      <alignment horizontal="center" vertical="center" wrapText="1"/>
    </xf>
    <xf numFmtId="0" fontId="30" fillId="32" borderId="1" xfId="6" applyFont="1" applyFill="1" applyBorder="1" applyAlignment="1">
      <alignment horizontal="center" vertical="center" wrapText="1"/>
    </xf>
    <xf numFmtId="0" fontId="69" fillId="0" borderId="0" xfId="6" applyFont="1"/>
    <xf numFmtId="0" fontId="67" fillId="0" borderId="1" xfId="11" applyFont="1" applyBorder="1"/>
    <xf numFmtId="180" fontId="68" fillId="3" borderId="1" xfId="8" applyNumberFormat="1" applyFont="1" applyFill="1" applyBorder="1" applyAlignment="1">
      <alignment horizontal="center" vertical="center"/>
    </xf>
    <xf numFmtId="169" fontId="30" fillId="13" borderId="1" xfId="6" applyNumberFormat="1" applyFont="1" applyFill="1" applyBorder="1"/>
    <xf numFmtId="0" fontId="70" fillId="0" borderId="0" xfId="11" applyFont="1"/>
    <xf numFmtId="0" fontId="71" fillId="0" borderId="0" xfId="11" applyFont="1"/>
    <xf numFmtId="0" fontId="72" fillId="0" borderId="0" xfId="11" applyFont="1"/>
    <xf numFmtId="0" fontId="73" fillId="0" borderId="0" xfId="11" applyFont="1"/>
    <xf numFmtId="177" fontId="74" fillId="0" borderId="0" xfId="8" applyNumberFormat="1" applyFont="1" applyFill="1" applyBorder="1" applyAlignment="1">
      <alignment vertical="center"/>
    </xf>
    <xf numFmtId="177" fontId="73" fillId="0" borderId="0" xfId="6" applyNumberFormat="1" applyFont="1"/>
    <xf numFmtId="0" fontId="75" fillId="0" borderId="0" xfId="6" applyFont="1"/>
    <xf numFmtId="0" fontId="76" fillId="0" borderId="0" xfId="11" applyFont="1"/>
    <xf numFmtId="0" fontId="77" fillId="0" borderId="0" xfId="11" applyFont="1"/>
    <xf numFmtId="0" fontId="73" fillId="0" borderId="0" xfId="6" applyFont="1"/>
    <xf numFmtId="0" fontId="30" fillId="0" borderId="29" xfId="11" applyFont="1" applyBorder="1"/>
    <xf numFmtId="3" fontId="30" fillId="0" borderId="5" xfId="11" applyNumberFormat="1" applyFont="1" applyBorder="1"/>
    <xf numFmtId="0" fontId="77" fillId="0" borderId="0" xfId="11" applyFont="1" applyAlignment="1">
      <alignment vertical="top" wrapText="1"/>
    </xf>
    <xf numFmtId="0" fontId="30" fillId="0" borderId="4" xfId="11" applyFont="1" applyBorder="1"/>
    <xf numFmtId="3" fontId="30" fillId="0" borderId="1" xfId="11" applyNumberFormat="1" applyFont="1" applyBorder="1"/>
    <xf numFmtId="43" fontId="30" fillId="0" borderId="0" xfId="8" applyFont="1" applyAlignment="1">
      <alignment horizontal="right"/>
    </xf>
    <xf numFmtId="0" fontId="30" fillId="0" borderId="0" xfId="11" applyFont="1" applyProtection="1">
      <protection locked="0"/>
    </xf>
    <xf numFmtId="0" fontId="78" fillId="0" borderId="0" xfId="11" applyFont="1" applyAlignment="1">
      <alignment horizontal="center" vertical="center" wrapText="1"/>
    </xf>
    <xf numFmtId="0" fontId="73" fillId="0" borderId="0" xfId="11" applyFont="1" applyAlignment="1">
      <alignment horizontal="center" vertical="center" wrapText="1"/>
    </xf>
    <xf numFmtId="0" fontId="30" fillId="0" borderId="7" xfId="11" applyFont="1" applyBorder="1"/>
    <xf numFmtId="166" fontId="30" fillId="0" borderId="1" xfId="11" applyNumberFormat="1" applyFont="1" applyBorder="1"/>
    <xf numFmtId="177" fontId="79" fillId="0" borderId="0" xfId="6" applyNumberFormat="1" applyFont="1"/>
    <xf numFmtId="1" fontId="73" fillId="0" borderId="0" xfId="8" applyNumberFormat="1" applyFont="1" applyFill="1" applyBorder="1"/>
    <xf numFmtId="0" fontId="67" fillId="0" borderId="0" xfId="11" applyFont="1" applyProtection="1">
      <protection locked="0"/>
    </xf>
    <xf numFmtId="3" fontId="67" fillId="0" borderId="1" xfId="11" applyNumberFormat="1" applyFont="1" applyBorder="1"/>
    <xf numFmtId="0" fontId="79" fillId="0" borderId="0" xfId="11" applyFont="1"/>
    <xf numFmtId="167" fontId="30" fillId="0" borderId="0" xfId="10" applyNumberFormat="1" applyFont="1"/>
    <xf numFmtId="43" fontId="30" fillId="0" borderId="0" xfId="8" applyFont="1"/>
    <xf numFmtId="0" fontId="33" fillId="3" borderId="31" xfId="6" applyFont="1" applyFill="1" applyBorder="1" applyAlignment="1">
      <alignment horizontal="left" vertical="center"/>
    </xf>
    <xf numFmtId="0" fontId="33" fillId="3" borderId="19" xfId="6" applyFont="1" applyFill="1" applyBorder="1" applyAlignment="1">
      <alignment horizontal="left" vertical="center"/>
    </xf>
    <xf numFmtId="0" fontId="30" fillId="0" borderId="1" xfId="6" applyFont="1" applyBorder="1"/>
    <xf numFmtId="0" fontId="33" fillId="3" borderId="39" xfId="6" applyFont="1" applyFill="1" applyBorder="1" applyAlignment="1">
      <alignment horizontal="left" vertical="center"/>
    </xf>
    <xf numFmtId="0" fontId="33" fillId="3" borderId="50" xfId="6" applyFont="1" applyFill="1" applyBorder="1" applyAlignment="1">
      <alignment horizontal="left" vertical="center"/>
    </xf>
    <xf numFmtId="0" fontId="33" fillId="3" borderId="1" xfId="6" applyFont="1" applyFill="1" applyBorder="1"/>
    <xf numFmtId="0" fontId="30" fillId="3" borderId="1" xfId="6" applyFont="1" applyFill="1" applyBorder="1"/>
    <xf numFmtId="3" fontId="33" fillId="0" borderId="1" xfId="6" applyNumberFormat="1" applyFont="1" applyBorder="1"/>
    <xf numFmtId="3" fontId="30" fillId="0" borderId="1" xfId="11" applyNumberFormat="1" applyFont="1" applyBorder="1" applyProtection="1">
      <protection locked="0"/>
    </xf>
    <xf numFmtId="3" fontId="30" fillId="0" borderId="1" xfId="6" applyNumberFormat="1" applyFont="1" applyBorder="1"/>
    <xf numFmtId="3" fontId="67" fillId="0" borderId="1" xfId="11" applyNumberFormat="1" applyFont="1" applyBorder="1" applyProtection="1">
      <protection locked="0"/>
    </xf>
    <xf numFmtId="3" fontId="66" fillId="0" borderId="1" xfId="11" applyNumberFormat="1" applyFont="1" applyBorder="1"/>
    <xf numFmtId="0" fontId="30" fillId="0" borderId="1" xfId="11" applyFont="1" applyBorder="1" applyAlignment="1" applyProtection="1">
      <alignment horizontal="center" vertical="center" wrapText="1"/>
      <protection locked="0"/>
    </xf>
    <xf numFmtId="3" fontId="30" fillId="16" borderId="1" xfId="6" applyNumberFormat="1" applyFont="1" applyFill="1" applyBorder="1"/>
    <xf numFmtId="0" fontId="33" fillId="15" borderId="1" xfId="6" applyFont="1" applyFill="1" applyBorder="1"/>
    <xf numFmtId="3" fontId="33" fillId="15" borderId="1" xfId="6" applyNumberFormat="1" applyFont="1" applyFill="1" applyBorder="1"/>
    <xf numFmtId="0" fontId="33" fillId="0" borderId="4" xfId="6" applyFont="1" applyBorder="1"/>
    <xf numFmtId="3" fontId="33" fillId="0" borderId="20" xfId="6" applyNumberFormat="1" applyFont="1" applyBorder="1"/>
    <xf numFmtId="3" fontId="33" fillId="0" borderId="7" xfId="6" applyNumberFormat="1" applyFont="1" applyBorder="1"/>
    <xf numFmtId="0" fontId="33" fillId="0" borderId="1" xfId="11" applyFont="1" applyBorder="1" applyAlignment="1" applyProtection="1">
      <alignment horizontal="left" vertical="center" wrapText="1"/>
      <protection locked="0"/>
    </xf>
    <xf numFmtId="3" fontId="33" fillId="0" borderId="1" xfId="11" applyNumberFormat="1" applyFont="1" applyBorder="1"/>
    <xf numFmtId="0" fontId="33" fillId="0" borderId="0" xfId="6" applyFont="1"/>
    <xf numFmtId="0" fontId="30" fillId="0" borderId="1" xfId="11" applyFont="1" applyBorder="1" applyAlignment="1" applyProtection="1">
      <alignment horizontal="left" vertical="center" wrapText="1"/>
      <protection locked="0"/>
    </xf>
    <xf numFmtId="3" fontId="33" fillId="16" borderId="1" xfId="6" applyNumberFormat="1" applyFont="1" applyFill="1" applyBorder="1"/>
    <xf numFmtId="0" fontId="67" fillId="0" borderId="1" xfId="11" applyFont="1" applyBorder="1" applyAlignment="1" applyProtection="1">
      <alignment horizontal="left" vertical="center" wrapText="1"/>
      <protection locked="0"/>
    </xf>
    <xf numFmtId="3" fontId="30" fillId="0" borderId="5" xfId="6" applyNumberFormat="1" applyFont="1" applyBorder="1"/>
    <xf numFmtId="0" fontId="67" fillId="0" borderId="1" xfId="11" applyFont="1" applyBorder="1" applyAlignment="1" applyProtection="1">
      <alignment horizontal="center" vertical="center" wrapText="1"/>
      <protection locked="0"/>
    </xf>
    <xf numFmtId="0" fontId="33" fillId="15" borderId="4" xfId="6" applyFont="1" applyFill="1" applyBorder="1"/>
    <xf numFmtId="3" fontId="33" fillId="15" borderId="7" xfId="6" applyNumberFormat="1" applyFont="1" applyFill="1" applyBorder="1"/>
    <xf numFmtId="0" fontId="41" fillId="0" borderId="0" xfId="0" applyFont="1"/>
    <xf numFmtId="0" fontId="53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41" fillId="24" borderId="1" xfId="0" applyFont="1" applyFill="1" applyBorder="1" applyAlignment="1">
      <alignment horizontal="left"/>
    </xf>
    <xf numFmtId="10" fontId="41" fillId="24" borderId="1" xfId="9" applyNumberFormat="1" applyFont="1" applyFill="1" applyBorder="1" applyAlignment="1">
      <alignment horizontal="center"/>
    </xf>
    <xf numFmtId="10" fontId="30" fillId="0" borderId="1" xfId="9" applyNumberFormat="1" applyFont="1" applyFill="1" applyBorder="1" applyAlignment="1">
      <alignment horizontal="center"/>
    </xf>
    <xf numFmtId="164" fontId="3" fillId="0" borderId="0" xfId="1" applyNumberFormat="1" applyFont="1"/>
    <xf numFmtId="10" fontId="30" fillId="0" borderId="4" xfId="5" applyNumberFormat="1" applyFont="1" applyBorder="1"/>
    <xf numFmtId="3" fontId="3" fillId="0" borderId="37" xfId="5" applyNumberFormat="1" applyFont="1" applyBorder="1"/>
    <xf numFmtId="177" fontId="30" fillId="0" borderId="0" xfId="8" applyNumberFormat="1" applyFont="1" applyFill="1" applyBorder="1" applyAlignment="1">
      <alignment vertical="center"/>
    </xf>
    <xf numFmtId="164" fontId="19" fillId="0" borderId="1" xfId="1" applyNumberFormat="1" applyFont="1" applyBorder="1"/>
    <xf numFmtId="3" fontId="3" fillId="0" borderId="0" xfId="11" applyNumberFormat="1" applyFont="1"/>
    <xf numFmtId="0" fontId="6" fillId="0" borderId="0" xfId="11" applyFont="1"/>
    <xf numFmtId="0" fontId="22" fillId="23" borderId="1" xfId="11" applyFont="1" applyFill="1" applyBorder="1" applyAlignment="1">
      <alignment horizontal="center" vertical="center"/>
    </xf>
    <xf numFmtId="0" fontId="22" fillId="0" borderId="19" xfId="11" applyFont="1" applyBorder="1" applyAlignment="1">
      <alignment horizontal="center" vertical="center"/>
    </xf>
    <xf numFmtId="0" fontId="6" fillId="13" borderId="40" xfId="11" applyFont="1" applyFill="1" applyBorder="1"/>
    <xf numFmtId="0" fontId="22" fillId="23" borderId="41" xfId="11" applyFont="1" applyFill="1" applyBorder="1" applyAlignment="1">
      <alignment horizontal="center" vertical="center" wrapText="1"/>
    </xf>
    <xf numFmtId="0" fontId="22" fillId="23" borderId="41" xfId="11" applyFont="1" applyFill="1" applyBorder="1" applyAlignment="1" applyProtection="1">
      <alignment horizontal="center" vertical="center"/>
      <protection locked="0"/>
    </xf>
    <xf numFmtId="0" fontId="3" fillId="0" borderId="34" xfId="11" applyFont="1" applyBorder="1" applyProtection="1">
      <protection locked="0"/>
    </xf>
    <xf numFmtId="4" fontId="3" fillId="0" borderId="1" xfId="11" applyNumberFormat="1" applyFont="1" applyBorder="1" applyProtection="1">
      <protection locked="0"/>
    </xf>
    <xf numFmtId="4" fontId="3" fillId="0" borderId="1" xfId="11" applyNumberFormat="1" applyFont="1" applyBorder="1"/>
    <xf numFmtId="4" fontId="3" fillId="7" borderId="1" xfId="11" applyNumberFormat="1" applyFont="1" applyFill="1" applyBorder="1" applyProtection="1">
      <protection locked="0"/>
    </xf>
    <xf numFmtId="0" fontId="6" fillId="0" borderId="42" xfId="11" applyFont="1" applyBorder="1"/>
    <xf numFmtId="4" fontId="6" fillId="0" borderId="1" xfId="11" applyNumberFormat="1" applyFont="1" applyBorder="1" applyProtection="1">
      <protection locked="0"/>
    </xf>
    <xf numFmtId="4" fontId="6" fillId="0" borderId="43" xfId="11" applyNumberFormat="1" applyFont="1" applyBorder="1"/>
    <xf numFmtId="4" fontId="6" fillId="0" borderId="44" xfId="11" applyNumberFormat="1" applyFont="1" applyBorder="1"/>
    <xf numFmtId="0" fontId="6" fillId="0" borderId="0" xfId="11" applyFont="1" applyProtection="1">
      <protection locked="0"/>
    </xf>
    <xf numFmtId="3" fontId="3" fillId="0" borderId="0" xfId="11" applyNumberFormat="1" applyFont="1" applyProtection="1">
      <protection locked="0"/>
    </xf>
    <xf numFmtId="3" fontId="80" fillId="0" borderId="0" xfId="11" applyNumberFormat="1" applyFont="1" applyProtection="1">
      <protection locked="0"/>
    </xf>
    <xf numFmtId="0" fontId="6" fillId="13" borderId="45" xfId="11" applyFont="1" applyFill="1" applyBorder="1"/>
    <xf numFmtId="0" fontId="22" fillId="23" borderId="46" xfId="11" applyFont="1" applyFill="1" applyBorder="1" applyAlignment="1">
      <alignment horizontal="center" vertical="center" wrapText="1"/>
    </xf>
    <xf numFmtId="0" fontId="22" fillId="23" borderId="46" xfId="11" applyFont="1" applyFill="1" applyBorder="1" applyAlignment="1" applyProtection="1">
      <alignment horizontal="center" vertical="center"/>
      <protection locked="0"/>
    </xf>
    <xf numFmtId="4" fontId="3" fillId="0" borderId="9" xfId="11" applyNumberFormat="1" applyFont="1" applyBorder="1"/>
    <xf numFmtId="4" fontId="6" fillId="0" borderId="47" xfId="11" applyNumberFormat="1" applyFont="1" applyBorder="1"/>
    <xf numFmtId="4" fontId="6" fillId="0" borderId="48" xfId="11" applyNumberFormat="1" applyFont="1" applyBorder="1" applyProtection="1">
      <protection locked="0"/>
    </xf>
    <xf numFmtId="4" fontId="6" fillId="0" borderId="48" xfId="11" applyNumberFormat="1" applyFont="1" applyBorder="1"/>
    <xf numFmtId="4" fontId="3" fillId="0" borderId="48" xfId="11" applyNumberFormat="1" applyFont="1" applyBorder="1"/>
    <xf numFmtId="4" fontId="6" fillId="0" borderId="49" xfId="11" applyNumberFormat="1" applyFont="1" applyBorder="1"/>
    <xf numFmtId="43" fontId="3" fillId="0" borderId="0" xfId="11" applyNumberFormat="1" applyFont="1"/>
    <xf numFmtId="0" fontId="7" fillId="8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22" fillId="10" borderId="4" xfId="0" applyFont="1" applyFill="1" applyBorder="1" applyAlignment="1">
      <alignment horizontal="left" vertical="center" wrapText="1"/>
    </xf>
    <xf numFmtId="0" fontId="21" fillId="10" borderId="20" xfId="0" applyFont="1" applyFill="1" applyBorder="1" applyAlignment="1">
      <alignment vertical="center"/>
    </xf>
    <xf numFmtId="0" fontId="21" fillId="10" borderId="7" xfId="0" applyFont="1" applyFill="1" applyBorder="1" applyAlignment="1">
      <alignment vertical="center"/>
    </xf>
    <xf numFmtId="0" fontId="6" fillId="10" borderId="1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vertical="center" wrapText="1"/>
    </xf>
    <xf numFmtId="0" fontId="0" fillId="10" borderId="3" xfId="0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/>
    </xf>
    <xf numFmtId="0" fontId="6" fillId="8" borderId="4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8" borderId="1" xfId="0" applyFill="1" applyBorder="1" applyAlignment="1">
      <alignment horizontal="left"/>
    </xf>
    <xf numFmtId="0" fontId="7" fillId="10" borderId="1" xfId="0" applyFont="1" applyFill="1" applyBorder="1" applyAlignment="1">
      <alignment horizontal="left" vertical="center"/>
    </xf>
    <xf numFmtId="0" fontId="6" fillId="10" borderId="1" xfId="0" applyFont="1" applyFill="1" applyBorder="1" applyAlignment="1">
      <alignment horizontal="left" vertical="center" wrapText="1"/>
    </xf>
    <xf numFmtId="0" fontId="21" fillId="10" borderId="1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/>
    </xf>
    <xf numFmtId="0" fontId="6" fillId="10" borderId="1" xfId="0" applyFont="1" applyFill="1" applyBorder="1" applyAlignment="1">
      <alignment vertical="center" wrapText="1"/>
    </xf>
    <xf numFmtId="0" fontId="3" fillId="9" borderId="4" xfId="0" applyFont="1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31" fillId="0" borderId="0" xfId="5" applyFont="1" applyAlignment="1">
      <alignment horizontal="left" vertical="top" wrapText="1"/>
    </xf>
    <xf numFmtId="0" fontId="33" fillId="0" borderId="29" xfId="5" applyFont="1" applyBorder="1" applyAlignment="1">
      <alignment horizontal="center" vertical="center"/>
    </xf>
    <xf numFmtId="0" fontId="6" fillId="3" borderId="5" xfId="5" applyFont="1" applyFill="1" applyBorder="1" applyAlignment="1">
      <alignment horizontal="left" vertical="center" wrapText="1"/>
    </xf>
    <xf numFmtId="0" fontId="6" fillId="3" borderId="3" xfId="5" applyFont="1" applyFill="1" applyBorder="1" applyAlignment="1">
      <alignment horizontal="left" vertical="center" wrapText="1"/>
    </xf>
    <xf numFmtId="0" fontId="6" fillId="25" borderId="5" xfId="0" applyFont="1" applyFill="1" applyBorder="1" applyAlignment="1">
      <alignment horizontal="left" vertical="center" wrapText="1"/>
    </xf>
    <xf numFmtId="0" fontId="6" fillId="25" borderId="3" xfId="0" applyFont="1" applyFill="1" applyBorder="1" applyAlignment="1">
      <alignment horizontal="left" vertical="center" wrapText="1"/>
    </xf>
    <xf numFmtId="0" fontId="6" fillId="0" borderId="30" xfId="6" applyFont="1" applyBorder="1" applyAlignment="1">
      <alignment horizontal="center" vertical="center"/>
    </xf>
    <xf numFmtId="0" fontId="6" fillId="0" borderId="39" xfId="6" applyFont="1" applyBorder="1" applyAlignment="1">
      <alignment horizontal="center" vertical="center"/>
    </xf>
    <xf numFmtId="177" fontId="30" fillId="0" borderId="4" xfId="8" applyNumberFormat="1" applyFont="1" applyFill="1" applyBorder="1" applyAlignment="1">
      <alignment horizontal="center" vertical="center"/>
    </xf>
    <xf numFmtId="177" fontId="30" fillId="0" borderId="7" xfId="8" applyNumberFormat="1" applyFont="1" applyFill="1" applyBorder="1" applyAlignment="1">
      <alignment horizontal="center" vertical="center"/>
    </xf>
    <xf numFmtId="0" fontId="33" fillId="3" borderId="4" xfId="11" applyFont="1" applyFill="1" applyBorder="1" applyAlignment="1">
      <alignment horizontal="left"/>
    </xf>
    <xf numFmtId="0" fontId="33" fillId="3" borderId="20" xfId="11" applyFont="1" applyFill="1" applyBorder="1" applyAlignment="1">
      <alignment horizontal="left"/>
    </xf>
    <xf numFmtId="0" fontId="33" fillId="3" borderId="7" xfId="11" applyFont="1" applyFill="1" applyBorder="1" applyAlignment="1">
      <alignment horizontal="left"/>
    </xf>
    <xf numFmtId="0" fontId="33" fillId="0" borderId="4" xfId="11" applyFont="1" applyBorder="1" applyAlignment="1">
      <alignment horizontal="left"/>
    </xf>
    <xf numFmtId="0" fontId="33" fillId="0" borderId="20" xfId="11" applyFont="1" applyBorder="1" applyAlignment="1">
      <alignment horizontal="left"/>
    </xf>
    <xf numFmtId="0" fontId="33" fillId="0" borderId="7" xfId="11" applyFont="1" applyBorder="1" applyAlignment="1">
      <alignment horizontal="left"/>
    </xf>
    <xf numFmtId="0" fontId="66" fillId="3" borderId="4" xfId="11" applyFont="1" applyFill="1" applyBorder="1" applyAlignment="1">
      <alignment horizontal="left"/>
    </xf>
    <xf numFmtId="0" fontId="66" fillId="3" borderId="7" xfId="11" applyFont="1" applyFill="1" applyBorder="1" applyAlignment="1">
      <alignment horizontal="left"/>
    </xf>
    <xf numFmtId="0" fontId="66" fillId="30" borderId="5" xfId="11" applyFont="1" applyFill="1" applyBorder="1" applyAlignment="1">
      <alignment horizontal="center" vertical="center" wrapText="1"/>
    </xf>
    <xf numFmtId="0" fontId="66" fillId="30" borderId="3" xfId="11" applyFont="1" applyFill="1" applyBorder="1" applyAlignment="1">
      <alignment horizontal="center" vertical="center" wrapText="1"/>
    </xf>
    <xf numFmtId="0" fontId="30" fillId="29" borderId="7" xfId="11" applyFont="1" applyFill="1" applyBorder="1" applyAlignment="1">
      <alignment horizontal="center" vertical="center" wrapText="1"/>
    </xf>
    <xf numFmtId="0" fontId="30" fillId="29" borderId="1" xfId="11" applyFont="1" applyFill="1" applyBorder="1" applyAlignment="1">
      <alignment horizontal="center" vertical="center" wrapText="1"/>
    </xf>
    <xf numFmtId="0" fontId="30" fillId="0" borderId="4" xfId="11" applyFont="1" applyBorder="1" applyAlignment="1">
      <alignment horizontal="center" vertical="center" wrapText="1"/>
    </xf>
    <xf numFmtId="0" fontId="30" fillId="0" borderId="7" xfId="11" applyFont="1" applyBorder="1" applyAlignment="1">
      <alignment horizontal="center" vertical="center" wrapText="1"/>
    </xf>
    <xf numFmtId="177" fontId="33" fillId="0" borderId="4" xfId="8" applyNumberFormat="1" applyFont="1" applyFill="1" applyBorder="1" applyAlignment="1">
      <alignment horizontal="center" vertical="center"/>
    </xf>
    <xf numFmtId="177" fontId="33" fillId="0" borderId="7" xfId="8" applyNumberFormat="1" applyFont="1" applyFill="1" applyBorder="1" applyAlignment="1">
      <alignment horizontal="center" vertical="center"/>
    </xf>
    <xf numFmtId="0" fontId="6" fillId="0" borderId="5" xfId="1" applyFont="1" applyBorder="1" applyAlignment="1">
      <alignment wrapText="1"/>
    </xf>
    <xf numFmtId="0" fontId="0" fillId="0" borderId="3" xfId="0" applyBorder="1"/>
    <xf numFmtId="0" fontId="6" fillId="0" borderId="5" xfId="6" applyFont="1" applyBorder="1" applyAlignment="1">
      <alignment wrapText="1"/>
    </xf>
    <xf numFmtId="0" fontId="2" fillId="0" borderId="3" xfId="5" applyBorder="1"/>
    <xf numFmtId="0" fontId="0" fillId="0" borderId="3" xfId="0" applyBorder="1" applyAlignment="1">
      <alignment wrapText="1"/>
    </xf>
    <xf numFmtId="0" fontId="81" fillId="0" borderId="0" xfId="0" applyFont="1"/>
    <xf numFmtId="0" fontId="82" fillId="0" borderId="0" xfId="0" applyFont="1" applyAlignment="1">
      <alignment horizontal="right"/>
    </xf>
    <xf numFmtId="0" fontId="82" fillId="0" borderId="0" xfId="0" applyFont="1" applyAlignment="1">
      <alignment horizontal="center"/>
    </xf>
    <xf numFmtId="0" fontId="82" fillId="0" borderId="0" xfId="0" applyFont="1"/>
    <xf numFmtId="0" fontId="43" fillId="3" borderId="1" xfId="5" applyFont="1" applyFill="1" applyBorder="1" applyAlignment="1">
      <alignment horizontal="center"/>
    </xf>
    <xf numFmtId="3" fontId="44" fillId="3" borderId="1" xfId="5" applyNumberFormat="1" applyFont="1" applyFill="1" applyBorder="1" applyAlignment="1">
      <alignment horizontal="center" vertical="center"/>
    </xf>
    <xf numFmtId="4" fontId="3" fillId="0" borderId="0" xfId="0" applyNumberFormat="1" applyFont="1"/>
    <xf numFmtId="175" fontId="3" fillId="24" borderId="1" xfId="8" applyNumberFormat="1" applyFont="1" applyFill="1" applyBorder="1"/>
    <xf numFmtId="0" fontId="3" fillId="3" borderId="30" xfId="5" applyFont="1" applyFill="1" applyBorder="1"/>
    <xf numFmtId="170" fontId="3" fillId="7" borderId="1" xfId="5" applyNumberFormat="1" applyFont="1" applyFill="1" applyBorder="1"/>
    <xf numFmtId="0" fontId="3" fillId="0" borderId="30" xfId="5" applyFont="1" applyBorder="1"/>
    <xf numFmtId="0" fontId="3" fillId="4" borderId="1" xfId="5" applyFont="1" applyFill="1" applyBorder="1" applyAlignment="1">
      <alignment horizontal="right" vertical="center"/>
    </xf>
    <xf numFmtId="0" fontId="3" fillId="3" borderId="4" xfId="5" applyFont="1" applyFill="1" applyBorder="1"/>
    <xf numFmtId="173" fontId="3" fillId="24" borderId="1" xfId="5" applyNumberFormat="1" applyFont="1" applyFill="1" applyBorder="1"/>
    <xf numFmtId="169" fontId="3" fillId="0" borderId="0" xfId="5" applyNumberFormat="1" applyFont="1"/>
    <xf numFmtId="179" fontId="3" fillId="24" borderId="1" xfId="8" applyNumberFormat="1" applyFont="1" applyFill="1" applyBorder="1"/>
    <xf numFmtId="180" fontId="3" fillId="0" borderId="1" xfId="8" applyNumberFormat="1" applyFont="1" applyBorder="1"/>
    <xf numFmtId="179" fontId="3" fillId="0" borderId="1" xfId="8" applyNumberFormat="1" applyFont="1" applyFill="1" applyBorder="1"/>
    <xf numFmtId="10" fontId="3" fillId="0" borderId="1" xfId="0" applyNumberFormat="1" applyFont="1" applyBorder="1"/>
    <xf numFmtId="3" fontId="3" fillId="3" borderId="1" xfId="0" applyNumberFormat="1" applyFont="1" applyFill="1" applyBorder="1"/>
    <xf numFmtId="0" fontId="84" fillId="3" borderId="1" xfId="0" applyFont="1" applyFill="1" applyBorder="1"/>
    <xf numFmtId="0" fontId="5" fillId="0" borderId="18" xfId="5" applyFont="1" applyBorder="1" applyAlignment="1">
      <alignment vertical="top" wrapText="1"/>
    </xf>
    <xf numFmtId="0" fontId="29" fillId="0" borderId="0" xfId="5" applyFont="1" applyAlignment="1">
      <alignment vertical="center" wrapText="1"/>
    </xf>
    <xf numFmtId="0" fontId="45" fillId="0" borderId="18" xfId="5" applyFont="1" applyBorder="1" applyAlignment="1">
      <alignment wrapText="1"/>
    </xf>
  </cellXfs>
  <cellStyles count="13">
    <cellStyle name="Čiarka 2" xfId="8" xr:uid="{B3E27183-3ED7-4116-BE8F-E4BE78F838D3}"/>
    <cellStyle name="Mena" xfId="12" builtinId="4"/>
    <cellStyle name="Normal 10" xfId="4" xr:uid="{00000000-0005-0000-0000-000000000000}"/>
    <cellStyle name="Normal 9" xfId="10" xr:uid="{86DB14E4-0F1F-4206-957F-E7F30C2AF7E1}"/>
    <cellStyle name="Normálna" xfId="0" builtinId="0"/>
    <cellStyle name="Normálna 2" xfId="3" xr:uid="{00000000-0005-0000-0000-000002000000}"/>
    <cellStyle name="Normálna 2 2" xfId="11" xr:uid="{663601CC-FB53-41CE-A474-BDC45432619A}"/>
    <cellStyle name="Normálna 3" xfId="5" xr:uid="{00000000-0005-0000-0000-000003000000}"/>
    <cellStyle name="normálne 2" xfId="1" xr:uid="{00000000-0005-0000-0000-000004000000}"/>
    <cellStyle name="normálne 2 2" xfId="6" xr:uid="{00000000-0005-0000-0000-000005000000}"/>
    <cellStyle name="Percentá" xfId="2" builtinId="5"/>
    <cellStyle name="Percentá 2" xfId="7" xr:uid="{D7FEA335-8348-42C4-A3A5-04A98210C10E}"/>
    <cellStyle name="Percentá 2 2" xfId="9" xr:uid="{CE1EE9D1-3E06-47C3-BB48-E04F69B3ADEB}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99FFCC"/>
      <color rgb="FF99FF33"/>
      <color rgb="FFCCFF99"/>
      <color rgb="FFFFFF66"/>
      <color rgb="FF3399FF"/>
      <color rgb="FFFFFFCC"/>
      <color rgb="FFFFFF00"/>
      <color rgb="FFCCFF33"/>
      <color rgb="FFFFCC66"/>
      <color rgb="FFFC81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5050"/>
  </sheetPr>
  <dimension ref="B1:DS241"/>
  <sheetViews>
    <sheetView tabSelected="1" zoomScale="90" zoomScaleNormal="90" workbookViewId="0"/>
  </sheetViews>
  <sheetFormatPr defaultColWidth="6.85546875" defaultRowHeight="11.25" x14ac:dyDescent="0.2"/>
  <cols>
    <col min="1" max="1" width="2.7109375" style="2" customWidth="1"/>
    <col min="2" max="2" width="50.28515625" style="2" customWidth="1"/>
    <col min="3" max="9" width="13.7109375" style="2" customWidth="1"/>
    <col min="10" max="43" width="7.7109375" style="2" customWidth="1"/>
    <col min="44" max="16384" width="6.85546875" style="2"/>
  </cols>
  <sheetData>
    <row r="1" spans="2:8" ht="12" thickBot="1" x14ac:dyDescent="0.25"/>
    <row r="2" spans="2:8" x14ac:dyDescent="0.2">
      <c r="B2" s="55" t="s">
        <v>2</v>
      </c>
      <c r="C2" s="56"/>
      <c r="D2" s="56"/>
      <c r="E2" s="56"/>
      <c r="F2" s="56"/>
      <c r="G2" s="56"/>
      <c r="H2" s="57"/>
    </row>
    <row r="3" spans="2:8" x14ac:dyDescent="0.2">
      <c r="B3" s="58" t="s">
        <v>288</v>
      </c>
      <c r="C3" s="59"/>
      <c r="D3" s="59"/>
      <c r="E3" s="59"/>
      <c r="F3" s="40"/>
      <c r="H3" s="60"/>
    </row>
    <row r="4" spans="2:8" x14ac:dyDescent="0.2">
      <c r="B4" s="58" t="s">
        <v>291</v>
      </c>
      <c r="C4" s="59"/>
      <c r="D4" s="59"/>
      <c r="E4" s="59"/>
      <c r="F4" s="59"/>
      <c r="G4" s="59"/>
      <c r="H4" s="60"/>
    </row>
    <row r="5" spans="2:8" x14ac:dyDescent="0.2">
      <c r="B5" s="58" t="s">
        <v>78</v>
      </c>
      <c r="C5" s="59"/>
      <c r="D5" s="59"/>
      <c r="E5" s="59"/>
      <c r="F5" s="59"/>
      <c r="G5" s="59"/>
      <c r="H5" s="60"/>
    </row>
    <row r="6" spans="2:8" ht="12" thickBot="1" x14ac:dyDescent="0.25">
      <c r="B6" s="61" t="s">
        <v>287</v>
      </c>
      <c r="C6" s="62"/>
      <c r="D6" s="62"/>
      <c r="E6" s="62"/>
      <c r="F6" s="62"/>
      <c r="G6" s="62"/>
      <c r="H6" s="63"/>
    </row>
    <row r="8" spans="2:8" ht="17.25" customHeight="1" x14ac:dyDescent="0.2">
      <c r="B8" s="726" t="s">
        <v>46</v>
      </c>
      <c r="C8" s="726"/>
    </row>
    <row r="9" spans="2:8" x14ac:dyDescent="0.2">
      <c r="B9" s="29" t="s">
        <v>3</v>
      </c>
      <c r="C9" s="41">
        <v>0.04</v>
      </c>
    </row>
    <row r="10" spans="2:8" x14ac:dyDescent="0.2">
      <c r="B10" s="3" t="s">
        <v>4</v>
      </c>
      <c r="C10" s="42">
        <v>0.05</v>
      </c>
    </row>
    <row r="11" spans="2:8" x14ac:dyDescent="0.2">
      <c r="B11" s="3" t="s">
        <v>5</v>
      </c>
      <c r="C11" s="18">
        <v>2023</v>
      </c>
      <c r="D11" s="2" t="s">
        <v>8</v>
      </c>
    </row>
    <row r="12" spans="2:8" x14ac:dyDescent="0.2">
      <c r="B12" s="3" t="s">
        <v>172</v>
      </c>
      <c r="C12" s="43">
        <f>'02 Zostatková hodnota'!E21</f>
        <v>35</v>
      </c>
      <c r="D12" s="2" t="s">
        <v>482</v>
      </c>
    </row>
    <row r="13" spans="2:8" x14ac:dyDescent="0.2">
      <c r="B13" s="3" t="s">
        <v>258</v>
      </c>
      <c r="C13" s="112">
        <v>2025</v>
      </c>
      <c r="D13" s="2" t="s">
        <v>173</v>
      </c>
    </row>
    <row r="14" spans="2:8" x14ac:dyDescent="0.2">
      <c r="B14" s="3" t="s">
        <v>259</v>
      </c>
      <c r="C14" s="112">
        <v>2027</v>
      </c>
      <c r="D14" s="771" t="s">
        <v>285</v>
      </c>
      <c r="E14" s="772">
        <f>C14+1</f>
        <v>2028</v>
      </c>
      <c r="F14" s="773" t="s">
        <v>286</v>
      </c>
    </row>
    <row r="15" spans="2:8" x14ac:dyDescent="0.2">
      <c r="B15" s="3" t="s">
        <v>296</v>
      </c>
      <c r="C15" s="18">
        <f>C14-C13+1</f>
        <v>3</v>
      </c>
      <c r="F15" s="770" t="s">
        <v>290</v>
      </c>
    </row>
    <row r="16" spans="2:8" x14ac:dyDescent="0.2">
      <c r="B16" s="3" t="s">
        <v>297</v>
      </c>
      <c r="C16" s="18">
        <f>40-C15</f>
        <v>37</v>
      </c>
      <c r="F16" s="130"/>
    </row>
    <row r="17" spans="2:54" x14ac:dyDescent="0.2">
      <c r="B17" s="3" t="s">
        <v>174</v>
      </c>
      <c r="C17" s="18">
        <f>C13+C12-1</f>
        <v>2059</v>
      </c>
    </row>
    <row r="18" spans="2:54" x14ac:dyDescent="0.2">
      <c r="B18" s="3" t="s">
        <v>6</v>
      </c>
      <c r="C18" s="43" t="s">
        <v>0</v>
      </c>
    </row>
    <row r="22" spans="2:54" x14ac:dyDescent="0.2">
      <c r="B22" s="726" t="s">
        <v>79</v>
      </c>
      <c r="C22" s="138"/>
      <c r="D22" s="139">
        <v>2024</v>
      </c>
      <c r="E22" s="139">
        <v>2025</v>
      </c>
      <c r="F22" s="139">
        <v>2026</v>
      </c>
      <c r="G22" s="139">
        <v>2027</v>
      </c>
      <c r="H22" s="139">
        <v>2028</v>
      </c>
      <c r="I22" s="139">
        <v>2029</v>
      </c>
      <c r="J22" s="139">
        <v>2030</v>
      </c>
      <c r="K22" s="139">
        <v>2031</v>
      </c>
      <c r="L22" s="139">
        <v>2032</v>
      </c>
      <c r="M22" s="139">
        <v>2033</v>
      </c>
      <c r="N22" s="139">
        <v>2034</v>
      </c>
      <c r="O22" s="139">
        <v>2035</v>
      </c>
      <c r="P22" s="139">
        <v>2036</v>
      </c>
      <c r="Q22" s="139">
        <v>2037</v>
      </c>
      <c r="R22" s="139">
        <v>2038</v>
      </c>
      <c r="S22" s="139">
        <v>2039</v>
      </c>
      <c r="T22" s="139">
        <v>2040</v>
      </c>
      <c r="U22" s="139">
        <v>2041</v>
      </c>
      <c r="V22" s="139">
        <v>2042</v>
      </c>
      <c r="W22" s="139">
        <v>2043</v>
      </c>
      <c r="X22" s="139">
        <v>2044</v>
      </c>
      <c r="Y22" s="139">
        <v>2045</v>
      </c>
      <c r="Z22" s="139">
        <v>2046</v>
      </c>
      <c r="AA22" s="139">
        <v>2047</v>
      </c>
      <c r="AB22" s="139">
        <v>2048</v>
      </c>
      <c r="AC22" s="139">
        <v>2049</v>
      </c>
      <c r="AD22" s="139">
        <v>2050</v>
      </c>
      <c r="AE22" s="139">
        <v>2051</v>
      </c>
      <c r="AF22" s="139">
        <v>2052</v>
      </c>
      <c r="AG22" s="139">
        <v>2053</v>
      </c>
      <c r="AH22" s="139">
        <v>2054</v>
      </c>
      <c r="AI22" s="139">
        <v>2055</v>
      </c>
      <c r="AJ22" s="139">
        <v>2056</v>
      </c>
      <c r="AK22" s="139">
        <v>2057</v>
      </c>
      <c r="AL22" s="139">
        <v>2058</v>
      </c>
      <c r="AM22" s="139">
        <v>2059</v>
      </c>
      <c r="AN22" s="139">
        <v>2060</v>
      </c>
      <c r="AO22" s="139">
        <v>2061</v>
      </c>
      <c r="AP22" s="139">
        <v>2062</v>
      </c>
      <c r="AQ22" s="139">
        <v>2063</v>
      </c>
      <c r="AR22" s="139">
        <v>2064</v>
      </c>
      <c r="AS22" s="139">
        <v>2065</v>
      </c>
      <c r="AT22" s="139">
        <v>2066</v>
      </c>
      <c r="AU22" s="139">
        <v>2067</v>
      </c>
      <c r="AV22" s="139">
        <v>2068</v>
      </c>
      <c r="AW22" s="139">
        <v>2069</v>
      </c>
      <c r="AX22" s="139">
        <v>2070</v>
      </c>
      <c r="AY22" s="139">
        <v>2071</v>
      </c>
      <c r="AZ22" s="139">
        <v>2072</v>
      </c>
      <c r="BA22" s="139">
        <v>2073</v>
      </c>
      <c r="BB22" s="139">
        <v>2074</v>
      </c>
    </row>
    <row r="23" spans="2:54" x14ac:dyDescent="0.2">
      <c r="B23" s="726" t="s">
        <v>37</v>
      </c>
      <c r="C23" s="3"/>
      <c r="D23" s="80">
        <v>2.7E-2</v>
      </c>
      <c r="E23" s="80">
        <v>2.8000000000000001E-2</v>
      </c>
      <c r="F23" s="80">
        <v>2.1000000000000001E-2</v>
      </c>
      <c r="G23" s="80">
        <v>1.7000000000000001E-2</v>
      </c>
      <c r="H23" s="80">
        <v>1.7999999999999999E-2</v>
      </c>
      <c r="I23" s="80">
        <v>1.6E-2</v>
      </c>
      <c r="J23" s="80">
        <v>1.6E-2</v>
      </c>
      <c r="K23" s="80">
        <v>1.4999999999999999E-2</v>
      </c>
      <c r="L23" s="80">
        <v>1.4999999999999999E-2</v>
      </c>
      <c r="M23" s="80">
        <v>1.4999999999999999E-2</v>
      </c>
      <c r="N23" s="80">
        <v>1.4999999999999999E-2</v>
      </c>
      <c r="O23" s="80">
        <v>1.4999999999999999E-2</v>
      </c>
      <c r="P23" s="80">
        <v>1.4999999999999999E-2</v>
      </c>
      <c r="Q23" s="80">
        <v>1.4999999999999999E-2</v>
      </c>
      <c r="R23" s="80">
        <v>1.4999999999999999E-2</v>
      </c>
      <c r="S23" s="80">
        <v>1.4999999999999999E-2</v>
      </c>
      <c r="T23" s="80">
        <v>1.4999999999999999E-2</v>
      </c>
      <c r="U23" s="80">
        <v>1.2999999999999999E-2</v>
      </c>
      <c r="V23" s="80">
        <v>1.2999999999999999E-2</v>
      </c>
      <c r="W23" s="80">
        <v>1.2999999999999999E-2</v>
      </c>
      <c r="X23" s="80">
        <v>1.2999999999999999E-2</v>
      </c>
      <c r="Y23" s="80">
        <v>1.2999999999999999E-2</v>
      </c>
      <c r="Z23" s="80">
        <v>1.2999999999999999E-2</v>
      </c>
      <c r="AA23" s="80">
        <v>1.2999999999999999E-2</v>
      </c>
      <c r="AB23" s="80">
        <v>1.2999999999999999E-2</v>
      </c>
      <c r="AC23" s="80">
        <v>1.2999999999999999E-2</v>
      </c>
      <c r="AD23" s="80">
        <v>1.2999999999999999E-2</v>
      </c>
      <c r="AE23" s="80">
        <v>1.2E-2</v>
      </c>
      <c r="AF23" s="80">
        <v>1.2E-2</v>
      </c>
      <c r="AG23" s="80">
        <v>1.2E-2</v>
      </c>
      <c r="AH23" s="80">
        <v>1.2E-2</v>
      </c>
      <c r="AI23" s="80">
        <v>1.2E-2</v>
      </c>
      <c r="AJ23" s="80">
        <v>1.2E-2</v>
      </c>
      <c r="AK23" s="80">
        <v>1.2E-2</v>
      </c>
      <c r="AL23" s="80">
        <v>1.2E-2</v>
      </c>
      <c r="AM23" s="80">
        <v>1.2E-2</v>
      </c>
      <c r="AN23" s="80">
        <v>1.2E-2</v>
      </c>
      <c r="AO23" s="80">
        <v>1.2999999999999999E-2</v>
      </c>
      <c r="AP23" s="80">
        <v>1.2999999999999999E-2</v>
      </c>
      <c r="AQ23" s="80">
        <v>1.2999999999999999E-2</v>
      </c>
      <c r="AR23" s="80">
        <v>1.2999999999999999E-2</v>
      </c>
      <c r="AS23" s="80">
        <v>1.2999999999999999E-2</v>
      </c>
      <c r="AT23" s="80">
        <v>1.2999999999999999E-2</v>
      </c>
      <c r="AU23" s="80">
        <v>1.2999999999999999E-2</v>
      </c>
      <c r="AV23" s="80">
        <v>1.2999999999999999E-2</v>
      </c>
      <c r="AW23" s="80">
        <v>1.2999999999999999E-2</v>
      </c>
      <c r="AX23" s="80">
        <v>1.2999999999999999E-2</v>
      </c>
      <c r="AY23" s="80">
        <v>1.2999999999999999E-2</v>
      </c>
      <c r="AZ23" s="80">
        <v>1.2999999999999999E-2</v>
      </c>
      <c r="BA23" s="80">
        <v>1.2999999999999999E-2</v>
      </c>
      <c r="BB23" s="80">
        <v>1.2999999999999999E-2</v>
      </c>
    </row>
    <row r="24" spans="2:54" x14ac:dyDescent="0.2">
      <c r="B24" s="1" t="s">
        <v>339</v>
      </c>
    </row>
    <row r="25" spans="2:54" x14ac:dyDescent="0.2">
      <c r="B25" s="1"/>
    </row>
    <row r="26" spans="2:54" x14ac:dyDescent="0.2">
      <c r="B26" s="732" t="s">
        <v>300</v>
      </c>
      <c r="C26" s="718" t="s">
        <v>299</v>
      </c>
      <c r="D26" s="718" t="s">
        <v>218</v>
      </c>
      <c r="E26" s="718"/>
      <c r="F26" s="718"/>
      <c r="G26" s="718"/>
      <c r="H26" s="718"/>
      <c r="I26" s="718"/>
    </row>
    <row r="27" spans="2:54" x14ac:dyDescent="0.2">
      <c r="B27" s="732"/>
      <c r="C27" s="718"/>
      <c r="D27" s="137" t="s">
        <v>222</v>
      </c>
      <c r="E27" s="137" t="s">
        <v>222</v>
      </c>
      <c r="F27" s="137" t="s">
        <v>222</v>
      </c>
      <c r="G27" s="137" t="s">
        <v>211</v>
      </c>
      <c r="H27" s="137" t="s">
        <v>222</v>
      </c>
      <c r="I27" s="137" t="s">
        <v>225</v>
      </c>
    </row>
    <row r="28" spans="2:54" ht="22.5" x14ac:dyDescent="0.2">
      <c r="B28" s="732"/>
      <c r="C28" s="718"/>
      <c r="D28" s="140" t="s">
        <v>223</v>
      </c>
      <c r="E28" s="140" t="s">
        <v>224</v>
      </c>
      <c r="F28" s="140" t="s">
        <v>232</v>
      </c>
      <c r="G28" s="140" t="s">
        <v>233</v>
      </c>
      <c r="H28" s="140" t="s">
        <v>233</v>
      </c>
      <c r="I28" s="140" t="s">
        <v>226</v>
      </c>
    </row>
    <row r="29" spans="2:54" x14ac:dyDescent="0.2">
      <c r="B29" s="131" t="s">
        <v>298</v>
      </c>
      <c r="C29" s="132" t="s">
        <v>219</v>
      </c>
      <c r="D29" s="274">
        <v>6.6</v>
      </c>
      <c r="E29" s="273">
        <v>7.9</v>
      </c>
      <c r="F29" s="273">
        <v>13.2</v>
      </c>
      <c r="G29" s="273">
        <v>9.6</v>
      </c>
      <c r="H29" s="273">
        <v>8.4</v>
      </c>
      <c r="I29" s="273">
        <v>7.5</v>
      </c>
    </row>
    <row r="30" spans="2:54" x14ac:dyDescent="0.2">
      <c r="B30" s="131" t="s">
        <v>260</v>
      </c>
      <c r="C30" s="132" t="s">
        <v>220</v>
      </c>
      <c r="D30" s="274">
        <v>79.7</v>
      </c>
      <c r="E30" s="273">
        <v>79.7</v>
      </c>
      <c r="F30" s="273">
        <v>95.6</v>
      </c>
      <c r="G30" s="273">
        <v>79.7</v>
      </c>
      <c r="H30" s="273">
        <v>79.7</v>
      </c>
      <c r="I30" s="273">
        <v>79.7</v>
      </c>
    </row>
    <row r="31" spans="2:54" x14ac:dyDescent="0.2">
      <c r="B31" s="1" t="s">
        <v>468</v>
      </c>
    </row>
    <row r="33" spans="2:5" ht="33.75" x14ac:dyDescent="0.2">
      <c r="B33" s="141" t="s">
        <v>264</v>
      </c>
      <c r="C33" s="137" t="s">
        <v>265</v>
      </c>
    </row>
    <row r="34" spans="2:5" x14ac:dyDescent="0.2">
      <c r="B34" s="135" t="s">
        <v>261</v>
      </c>
      <c r="C34" s="180">
        <v>2.75E-2</v>
      </c>
    </row>
    <row r="35" spans="2:5" x14ac:dyDescent="0.2">
      <c r="B35" s="135" t="s">
        <v>262</v>
      </c>
      <c r="C35" s="180">
        <v>1.8200000000000001E-2</v>
      </c>
    </row>
    <row r="36" spans="2:5" x14ac:dyDescent="0.2">
      <c r="B36" s="135" t="s">
        <v>263</v>
      </c>
      <c r="C36" s="180">
        <v>2.46E-2</v>
      </c>
    </row>
    <row r="37" spans="2:5" x14ac:dyDescent="0.2">
      <c r="B37" s="1" t="s">
        <v>72</v>
      </c>
    </row>
    <row r="39" spans="2:5" ht="17.25" customHeight="1" x14ac:dyDescent="0.2">
      <c r="B39" s="726" t="s">
        <v>7</v>
      </c>
      <c r="C39" s="726"/>
      <c r="E39" s="2" t="s">
        <v>95</v>
      </c>
    </row>
    <row r="40" spans="2:5" x14ac:dyDescent="0.2">
      <c r="B40" s="29" t="s">
        <v>65</v>
      </c>
      <c r="C40" s="75">
        <v>0.9</v>
      </c>
      <c r="E40" s="2" t="s">
        <v>96</v>
      </c>
    </row>
    <row r="41" spans="2:5" x14ac:dyDescent="0.2">
      <c r="B41" s="3" t="s">
        <v>93</v>
      </c>
      <c r="C41" s="76">
        <v>0.54</v>
      </c>
    </row>
    <row r="42" spans="2:5" x14ac:dyDescent="0.2">
      <c r="B42" s="3" t="s">
        <v>92</v>
      </c>
      <c r="C42" s="76">
        <v>0.64</v>
      </c>
    </row>
    <row r="43" spans="2:5" x14ac:dyDescent="0.2">
      <c r="B43" s="3" t="s">
        <v>301</v>
      </c>
      <c r="C43" s="76">
        <v>0.99</v>
      </c>
    </row>
    <row r="44" spans="2:5" x14ac:dyDescent="0.2">
      <c r="B44" s="3" t="s">
        <v>66</v>
      </c>
      <c r="C44" s="76">
        <v>1</v>
      </c>
    </row>
    <row r="45" spans="2:5" x14ac:dyDescent="0.2">
      <c r="B45" s="1" t="s">
        <v>302</v>
      </c>
      <c r="C45" s="79"/>
    </row>
    <row r="46" spans="2:5" x14ac:dyDescent="0.2">
      <c r="B46" s="1"/>
      <c r="C46" s="79"/>
    </row>
    <row r="47" spans="2:5" ht="17.25" customHeight="1" x14ac:dyDescent="0.2">
      <c r="B47" s="136" t="s">
        <v>94</v>
      </c>
      <c r="C47" s="181">
        <v>0.9</v>
      </c>
      <c r="E47" s="2" t="s">
        <v>97</v>
      </c>
    </row>
    <row r="48" spans="2:5" x14ac:dyDescent="0.2">
      <c r="B48" s="1" t="s">
        <v>302</v>
      </c>
    </row>
    <row r="50" spans="2:54" ht="34.5" customHeight="1" x14ac:dyDescent="0.2">
      <c r="B50" s="142" t="s">
        <v>67</v>
      </c>
      <c r="C50" s="143" t="s">
        <v>196</v>
      </c>
      <c r="D50" s="143" t="s">
        <v>68</v>
      </c>
      <c r="E50" s="143" t="s">
        <v>69</v>
      </c>
    </row>
    <row r="51" spans="2:54" x14ac:dyDescent="0.2">
      <c r="B51" s="3" t="s">
        <v>100</v>
      </c>
      <c r="C51" s="69">
        <v>7.2999999999999995E-2</v>
      </c>
      <c r="D51" s="69">
        <v>0.24399999999999999</v>
      </c>
      <c r="E51" s="69">
        <v>0.68300000000000005</v>
      </c>
      <c r="F51" s="70"/>
    </row>
    <row r="52" spans="2:54" x14ac:dyDescent="0.2">
      <c r="B52" s="3" t="s">
        <v>73</v>
      </c>
      <c r="C52" s="69">
        <v>3.6999999999999998E-2</v>
      </c>
      <c r="D52" s="69">
        <v>0.33800000000000002</v>
      </c>
      <c r="E52" s="69">
        <v>0.625</v>
      </c>
      <c r="F52" s="70"/>
    </row>
    <row r="53" spans="2:54" x14ac:dyDescent="0.2">
      <c r="B53" s="3" t="s">
        <v>70</v>
      </c>
      <c r="C53" s="69">
        <v>3.7999999999999999E-2</v>
      </c>
      <c r="D53" s="69">
        <v>0.39200000000000002</v>
      </c>
      <c r="E53" s="69">
        <v>0.56999999999999995</v>
      </c>
      <c r="F53" s="70"/>
    </row>
    <row r="54" spans="2:54" x14ac:dyDescent="0.2">
      <c r="B54" s="3" t="s">
        <v>101</v>
      </c>
      <c r="C54" s="69">
        <v>4.2999999999999997E-2</v>
      </c>
      <c r="D54" s="69">
        <v>0.25600000000000001</v>
      </c>
      <c r="E54" s="69">
        <v>0.70099999999999996</v>
      </c>
      <c r="F54" s="70"/>
    </row>
    <row r="55" spans="2:54" x14ac:dyDescent="0.2">
      <c r="B55" s="1" t="s">
        <v>469</v>
      </c>
    </row>
    <row r="57" spans="2:54" ht="17.25" customHeight="1" x14ac:dyDescent="0.2">
      <c r="B57" s="144" t="s">
        <v>104</v>
      </c>
      <c r="C57" s="139">
        <v>2024</v>
      </c>
      <c r="D57" s="139">
        <v>2025</v>
      </c>
      <c r="E57" s="139">
        <v>2026</v>
      </c>
      <c r="F57" s="139">
        <v>2027</v>
      </c>
      <c r="G57" s="139">
        <v>2028</v>
      </c>
      <c r="H57" s="139">
        <v>2029</v>
      </c>
      <c r="I57" s="139">
        <v>2030</v>
      </c>
      <c r="J57" s="139">
        <v>2031</v>
      </c>
      <c r="K57" s="139">
        <v>2032</v>
      </c>
      <c r="L57" s="139">
        <v>2033</v>
      </c>
      <c r="M57" s="139">
        <v>2034</v>
      </c>
      <c r="N57" s="139">
        <v>2035</v>
      </c>
      <c r="O57" s="139">
        <v>2036</v>
      </c>
      <c r="P57" s="139">
        <v>2037</v>
      </c>
      <c r="Q57" s="139">
        <v>2038</v>
      </c>
      <c r="R57" s="139">
        <v>2039</v>
      </c>
      <c r="S57" s="139">
        <v>2040</v>
      </c>
      <c r="T57" s="139">
        <v>2041</v>
      </c>
      <c r="U57" s="139">
        <v>2042</v>
      </c>
      <c r="V57" s="139">
        <v>2043</v>
      </c>
      <c r="W57" s="139">
        <v>2044</v>
      </c>
      <c r="X57" s="139">
        <v>2045</v>
      </c>
      <c r="Y57" s="139">
        <v>2046</v>
      </c>
      <c r="Z57" s="139">
        <v>2047</v>
      </c>
      <c r="AA57" s="139">
        <v>2048</v>
      </c>
      <c r="AB57" s="139">
        <v>2049</v>
      </c>
      <c r="AC57" s="139">
        <v>2050</v>
      </c>
      <c r="AD57" s="139">
        <v>2051</v>
      </c>
      <c r="AE57" s="139">
        <v>2052</v>
      </c>
      <c r="AF57" s="139">
        <v>2053</v>
      </c>
      <c r="AG57" s="139">
        <v>2054</v>
      </c>
      <c r="AH57" s="139">
        <v>2055</v>
      </c>
      <c r="AI57" s="139">
        <v>2056</v>
      </c>
      <c r="AJ57" s="139">
        <v>2057</v>
      </c>
      <c r="AK57" s="139">
        <v>2058</v>
      </c>
      <c r="AL57" s="139">
        <v>2059</v>
      </c>
      <c r="AM57" s="139">
        <v>2060</v>
      </c>
      <c r="AN57" s="139">
        <v>2061</v>
      </c>
      <c r="AO57" s="139">
        <v>2062</v>
      </c>
      <c r="AP57" s="139">
        <v>2063</v>
      </c>
      <c r="AQ57" s="139">
        <v>2064</v>
      </c>
      <c r="AR57" s="139">
        <v>2065</v>
      </c>
      <c r="AS57" s="139">
        <v>2066</v>
      </c>
      <c r="AT57" s="139">
        <v>2067</v>
      </c>
      <c r="AU57" s="139">
        <v>2068</v>
      </c>
      <c r="AV57" s="139">
        <v>2069</v>
      </c>
      <c r="AW57" s="139">
        <v>2070</v>
      </c>
      <c r="AX57" s="139">
        <v>2071</v>
      </c>
      <c r="AY57" s="139">
        <v>2072</v>
      </c>
      <c r="AZ57" s="139">
        <v>2073</v>
      </c>
      <c r="BA57" s="139">
        <v>2074</v>
      </c>
      <c r="BB57" s="139">
        <v>2075</v>
      </c>
    </row>
    <row r="58" spans="2:54" x14ac:dyDescent="0.2">
      <c r="B58" s="64" t="s">
        <v>146</v>
      </c>
      <c r="C58" s="65">
        <v>20.83</v>
      </c>
      <c r="D58" s="65">
        <f>ROUND(C58*(1+(0.8*D23)),2)</f>
        <v>21.28</v>
      </c>
      <c r="E58" s="65">
        <f t="shared" ref="E58:BB58" si="0">ROUND(D58*(1+(0.8*E23)),2)</f>
        <v>21.76</v>
      </c>
      <c r="F58" s="65">
        <f t="shared" si="0"/>
        <v>22.13</v>
      </c>
      <c r="G58" s="65">
        <f t="shared" si="0"/>
        <v>22.43</v>
      </c>
      <c r="H58" s="65">
        <f t="shared" si="0"/>
        <v>22.75</v>
      </c>
      <c r="I58" s="65">
        <f t="shared" si="0"/>
        <v>23.04</v>
      </c>
      <c r="J58" s="65">
        <f t="shared" si="0"/>
        <v>23.33</v>
      </c>
      <c r="K58" s="65">
        <f t="shared" si="0"/>
        <v>23.61</v>
      </c>
      <c r="L58" s="65">
        <f t="shared" si="0"/>
        <v>23.89</v>
      </c>
      <c r="M58" s="65">
        <f t="shared" si="0"/>
        <v>24.18</v>
      </c>
      <c r="N58" s="65">
        <f t="shared" si="0"/>
        <v>24.47</v>
      </c>
      <c r="O58" s="65">
        <f t="shared" si="0"/>
        <v>24.76</v>
      </c>
      <c r="P58" s="65">
        <f t="shared" si="0"/>
        <v>25.06</v>
      </c>
      <c r="Q58" s="65">
        <f t="shared" si="0"/>
        <v>25.36</v>
      </c>
      <c r="R58" s="65">
        <f t="shared" si="0"/>
        <v>25.66</v>
      </c>
      <c r="S58" s="65">
        <f t="shared" si="0"/>
        <v>25.97</v>
      </c>
      <c r="T58" s="65">
        <f t="shared" si="0"/>
        <v>26.28</v>
      </c>
      <c r="U58" s="65">
        <f t="shared" si="0"/>
        <v>26.55</v>
      </c>
      <c r="V58" s="65">
        <f t="shared" si="0"/>
        <v>26.83</v>
      </c>
      <c r="W58" s="65">
        <f t="shared" si="0"/>
        <v>27.11</v>
      </c>
      <c r="X58" s="65">
        <f t="shared" si="0"/>
        <v>27.39</v>
      </c>
      <c r="Y58" s="65">
        <f t="shared" si="0"/>
        <v>27.67</v>
      </c>
      <c r="Z58" s="65">
        <f t="shared" si="0"/>
        <v>27.96</v>
      </c>
      <c r="AA58" s="65">
        <f t="shared" si="0"/>
        <v>28.25</v>
      </c>
      <c r="AB58" s="65">
        <f t="shared" si="0"/>
        <v>28.54</v>
      </c>
      <c r="AC58" s="65">
        <f t="shared" si="0"/>
        <v>28.84</v>
      </c>
      <c r="AD58" s="65">
        <f t="shared" si="0"/>
        <v>29.14</v>
      </c>
      <c r="AE58" s="65">
        <f t="shared" si="0"/>
        <v>29.42</v>
      </c>
      <c r="AF58" s="65">
        <f t="shared" si="0"/>
        <v>29.7</v>
      </c>
      <c r="AG58" s="65">
        <f t="shared" si="0"/>
        <v>29.99</v>
      </c>
      <c r="AH58" s="65">
        <f t="shared" si="0"/>
        <v>30.28</v>
      </c>
      <c r="AI58" s="65">
        <f t="shared" si="0"/>
        <v>30.57</v>
      </c>
      <c r="AJ58" s="65">
        <f t="shared" si="0"/>
        <v>30.86</v>
      </c>
      <c r="AK58" s="65">
        <f t="shared" si="0"/>
        <v>31.16</v>
      </c>
      <c r="AL58" s="65">
        <f t="shared" si="0"/>
        <v>31.46</v>
      </c>
      <c r="AM58" s="65">
        <f t="shared" si="0"/>
        <v>31.76</v>
      </c>
      <c r="AN58" s="65">
        <f t="shared" si="0"/>
        <v>32.06</v>
      </c>
      <c r="AO58" s="65">
        <f t="shared" si="0"/>
        <v>32.39</v>
      </c>
      <c r="AP58" s="65">
        <f t="shared" si="0"/>
        <v>32.729999999999997</v>
      </c>
      <c r="AQ58" s="65">
        <f t="shared" si="0"/>
        <v>33.07</v>
      </c>
      <c r="AR58" s="65">
        <f t="shared" si="0"/>
        <v>33.409999999999997</v>
      </c>
      <c r="AS58" s="65">
        <f t="shared" si="0"/>
        <v>33.76</v>
      </c>
      <c r="AT58" s="65">
        <f t="shared" si="0"/>
        <v>34.11</v>
      </c>
      <c r="AU58" s="65">
        <f t="shared" si="0"/>
        <v>34.46</v>
      </c>
      <c r="AV58" s="65">
        <f t="shared" si="0"/>
        <v>34.82</v>
      </c>
      <c r="AW58" s="65">
        <f t="shared" si="0"/>
        <v>35.18</v>
      </c>
      <c r="AX58" s="65">
        <f t="shared" si="0"/>
        <v>35.549999999999997</v>
      </c>
      <c r="AY58" s="65">
        <f t="shared" si="0"/>
        <v>35.92</v>
      </c>
      <c r="AZ58" s="65">
        <f t="shared" si="0"/>
        <v>36.29</v>
      </c>
      <c r="BA58" s="65">
        <f t="shared" si="0"/>
        <v>36.67</v>
      </c>
      <c r="BB58" s="65">
        <f t="shared" si="0"/>
        <v>37.049999999999997</v>
      </c>
    </row>
    <row r="59" spans="2:54" x14ac:dyDescent="0.2">
      <c r="B59" s="44" t="s">
        <v>102</v>
      </c>
      <c r="C59" s="66">
        <v>9.83</v>
      </c>
      <c r="D59" s="66">
        <f>ROUND(C59*(1+(0.8*D23)),2)</f>
        <v>10.039999999999999</v>
      </c>
      <c r="E59" s="66">
        <f t="shared" ref="E59:BB59" si="1">ROUND(D59*(1+(0.8*E23)),2)</f>
        <v>10.26</v>
      </c>
      <c r="F59" s="66">
        <f t="shared" si="1"/>
        <v>10.43</v>
      </c>
      <c r="G59" s="66">
        <f t="shared" si="1"/>
        <v>10.57</v>
      </c>
      <c r="H59" s="66">
        <f t="shared" si="1"/>
        <v>10.72</v>
      </c>
      <c r="I59" s="66">
        <f t="shared" si="1"/>
        <v>10.86</v>
      </c>
      <c r="J59" s="66">
        <f t="shared" si="1"/>
        <v>11</v>
      </c>
      <c r="K59" s="66">
        <f t="shared" si="1"/>
        <v>11.13</v>
      </c>
      <c r="L59" s="66">
        <f t="shared" si="1"/>
        <v>11.26</v>
      </c>
      <c r="M59" s="66">
        <f t="shared" si="1"/>
        <v>11.4</v>
      </c>
      <c r="N59" s="66">
        <f t="shared" si="1"/>
        <v>11.54</v>
      </c>
      <c r="O59" s="66">
        <f t="shared" si="1"/>
        <v>11.68</v>
      </c>
      <c r="P59" s="66">
        <f t="shared" si="1"/>
        <v>11.82</v>
      </c>
      <c r="Q59" s="66">
        <f t="shared" si="1"/>
        <v>11.96</v>
      </c>
      <c r="R59" s="66">
        <f t="shared" si="1"/>
        <v>12.1</v>
      </c>
      <c r="S59" s="66">
        <f t="shared" si="1"/>
        <v>12.25</v>
      </c>
      <c r="T59" s="66">
        <f t="shared" si="1"/>
        <v>12.4</v>
      </c>
      <c r="U59" s="66">
        <f t="shared" si="1"/>
        <v>12.53</v>
      </c>
      <c r="V59" s="66">
        <f t="shared" si="1"/>
        <v>12.66</v>
      </c>
      <c r="W59" s="66">
        <f t="shared" si="1"/>
        <v>12.79</v>
      </c>
      <c r="X59" s="66">
        <f t="shared" si="1"/>
        <v>12.92</v>
      </c>
      <c r="Y59" s="66">
        <f t="shared" si="1"/>
        <v>13.05</v>
      </c>
      <c r="Z59" s="66">
        <f t="shared" si="1"/>
        <v>13.19</v>
      </c>
      <c r="AA59" s="66">
        <f t="shared" si="1"/>
        <v>13.33</v>
      </c>
      <c r="AB59" s="66">
        <f t="shared" si="1"/>
        <v>13.47</v>
      </c>
      <c r="AC59" s="66">
        <f t="shared" si="1"/>
        <v>13.61</v>
      </c>
      <c r="AD59" s="66">
        <f t="shared" si="1"/>
        <v>13.75</v>
      </c>
      <c r="AE59" s="66">
        <f t="shared" si="1"/>
        <v>13.88</v>
      </c>
      <c r="AF59" s="66">
        <f t="shared" si="1"/>
        <v>14.01</v>
      </c>
      <c r="AG59" s="66">
        <f t="shared" si="1"/>
        <v>14.14</v>
      </c>
      <c r="AH59" s="66">
        <f t="shared" si="1"/>
        <v>14.28</v>
      </c>
      <c r="AI59" s="66">
        <f t="shared" si="1"/>
        <v>14.42</v>
      </c>
      <c r="AJ59" s="66">
        <f t="shared" si="1"/>
        <v>14.56</v>
      </c>
      <c r="AK59" s="66">
        <f t="shared" si="1"/>
        <v>14.7</v>
      </c>
      <c r="AL59" s="66">
        <f t="shared" si="1"/>
        <v>14.84</v>
      </c>
      <c r="AM59" s="66">
        <f t="shared" si="1"/>
        <v>14.98</v>
      </c>
      <c r="AN59" s="66">
        <f t="shared" si="1"/>
        <v>15.12</v>
      </c>
      <c r="AO59" s="66">
        <f t="shared" si="1"/>
        <v>15.28</v>
      </c>
      <c r="AP59" s="66">
        <f t="shared" si="1"/>
        <v>15.44</v>
      </c>
      <c r="AQ59" s="66">
        <f t="shared" si="1"/>
        <v>15.6</v>
      </c>
      <c r="AR59" s="66">
        <f t="shared" si="1"/>
        <v>15.76</v>
      </c>
      <c r="AS59" s="66">
        <f t="shared" si="1"/>
        <v>15.92</v>
      </c>
      <c r="AT59" s="66">
        <f t="shared" si="1"/>
        <v>16.09</v>
      </c>
      <c r="AU59" s="66">
        <f t="shared" si="1"/>
        <v>16.260000000000002</v>
      </c>
      <c r="AV59" s="66">
        <f t="shared" si="1"/>
        <v>16.43</v>
      </c>
      <c r="AW59" s="66">
        <f t="shared" si="1"/>
        <v>16.600000000000001</v>
      </c>
      <c r="AX59" s="66">
        <f t="shared" si="1"/>
        <v>16.77</v>
      </c>
      <c r="AY59" s="66">
        <f t="shared" si="1"/>
        <v>16.940000000000001</v>
      </c>
      <c r="AZ59" s="66">
        <f t="shared" si="1"/>
        <v>17.12</v>
      </c>
      <c r="BA59" s="66">
        <f t="shared" si="1"/>
        <v>17.3</v>
      </c>
      <c r="BB59" s="66">
        <f t="shared" si="1"/>
        <v>17.48</v>
      </c>
    </row>
    <row r="60" spans="2:54" x14ac:dyDescent="0.2">
      <c r="B60" s="67" t="s">
        <v>103</v>
      </c>
      <c r="C60" s="66">
        <v>6.42</v>
      </c>
      <c r="D60" s="66">
        <f>ROUND(C60*(1+(0.8*D23)),2)</f>
        <v>6.56</v>
      </c>
      <c r="E60" s="66">
        <f t="shared" ref="E60:BB60" si="2">ROUND(D60*(1+(0.8*E23)),2)</f>
        <v>6.71</v>
      </c>
      <c r="F60" s="66">
        <f t="shared" si="2"/>
        <v>6.82</v>
      </c>
      <c r="G60" s="66">
        <f t="shared" si="2"/>
        <v>6.91</v>
      </c>
      <c r="H60" s="66">
        <f t="shared" si="2"/>
        <v>7.01</v>
      </c>
      <c r="I60" s="66">
        <f t="shared" si="2"/>
        <v>7.1</v>
      </c>
      <c r="J60" s="66">
        <f t="shared" si="2"/>
        <v>7.19</v>
      </c>
      <c r="K60" s="66">
        <f t="shared" si="2"/>
        <v>7.28</v>
      </c>
      <c r="L60" s="66">
        <f t="shared" si="2"/>
        <v>7.37</v>
      </c>
      <c r="M60" s="66">
        <f t="shared" si="2"/>
        <v>7.46</v>
      </c>
      <c r="N60" s="66">
        <f t="shared" si="2"/>
        <v>7.55</v>
      </c>
      <c r="O60" s="66">
        <f t="shared" si="2"/>
        <v>7.64</v>
      </c>
      <c r="P60" s="66">
        <f t="shared" si="2"/>
        <v>7.73</v>
      </c>
      <c r="Q60" s="66">
        <f t="shared" si="2"/>
        <v>7.82</v>
      </c>
      <c r="R60" s="66">
        <f t="shared" si="2"/>
        <v>7.91</v>
      </c>
      <c r="S60" s="66">
        <f t="shared" si="2"/>
        <v>8</v>
      </c>
      <c r="T60" s="66">
        <f t="shared" si="2"/>
        <v>8.1</v>
      </c>
      <c r="U60" s="66">
        <f t="shared" si="2"/>
        <v>8.18</v>
      </c>
      <c r="V60" s="66">
        <f t="shared" si="2"/>
        <v>8.27</v>
      </c>
      <c r="W60" s="66">
        <f t="shared" si="2"/>
        <v>8.36</v>
      </c>
      <c r="X60" s="66">
        <f t="shared" si="2"/>
        <v>8.4499999999999993</v>
      </c>
      <c r="Y60" s="66">
        <f t="shared" si="2"/>
        <v>8.5399999999999991</v>
      </c>
      <c r="Z60" s="66">
        <f t="shared" si="2"/>
        <v>8.6300000000000008</v>
      </c>
      <c r="AA60" s="66">
        <f t="shared" si="2"/>
        <v>8.7200000000000006</v>
      </c>
      <c r="AB60" s="66">
        <f t="shared" si="2"/>
        <v>8.81</v>
      </c>
      <c r="AC60" s="66">
        <f t="shared" si="2"/>
        <v>8.9</v>
      </c>
      <c r="AD60" s="66">
        <f t="shared" si="2"/>
        <v>8.99</v>
      </c>
      <c r="AE60" s="66">
        <f t="shared" si="2"/>
        <v>9.08</v>
      </c>
      <c r="AF60" s="66">
        <f t="shared" si="2"/>
        <v>9.17</v>
      </c>
      <c r="AG60" s="66">
        <f t="shared" si="2"/>
        <v>9.26</v>
      </c>
      <c r="AH60" s="66">
        <f t="shared" si="2"/>
        <v>9.35</v>
      </c>
      <c r="AI60" s="66">
        <f t="shared" si="2"/>
        <v>9.44</v>
      </c>
      <c r="AJ60" s="66">
        <f t="shared" si="2"/>
        <v>9.5299999999999994</v>
      </c>
      <c r="AK60" s="66">
        <f t="shared" si="2"/>
        <v>9.6199999999999992</v>
      </c>
      <c r="AL60" s="66">
        <f t="shared" si="2"/>
        <v>9.7100000000000009</v>
      </c>
      <c r="AM60" s="66">
        <f t="shared" si="2"/>
        <v>9.8000000000000007</v>
      </c>
      <c r="AN60" s="66">
        <f t="shared" si="2"/>
        <v>9.89</v>
      </c>
      <c r="AO60" s="66">
        <f t="shared" si="2"/>
        <v>9.99</v>
      </c>
      <c r="AP60" s="66">
        <f t="shared" si="2"/>
        <v>10.09</v>
      </c>
      <c r="AQ60" s="66">
        <f t="shared" si="2"/>
        <v>10.19</v>
      </c>
      <c r="AR60" s="66">
        <f t="shared" si="2"/>
        <v>10.3</v>
      </c>
      <c r="AS60" s="66">
        <f t="shared" si="2"/>
        <v>10.41</v>
      </c>
      <c r="AT60" s="66">
        <f t="shared" si="2"/>
        <v>10.52</v>
      </c>
      <c r="AU60" s="66">
        <f t="shared" si="2"/>
        <v>10.63</v>
      </c>
      <c r="AV60" s="66">
        <f t="shared" si="2"/>
        <v>10.74</v>
      </c>
      <c r="AW60" s="66">
        <f t="shared" si="2"/>
        <v>10.85</v>
      </c>
      <c r="AX60" s="66">
        <f t="shared" si="2"/>
        <v>10.96</v>
      </c>
      <c r="AY60" s="66">
        <f t="shared" si="2"/>
        <v>11.07</v>
      </c>
      <c r="AZ60" s="66">
        <f t="shared" si="2"/>
        <v>11.19</v>
      </c>
      <c r="BA60" s="66">
        <f t="shared" si="2"/>
        <v>11.31</v>
      </c>
      <c r="BB60" s="66">
        <f t="shared" si="2"/>
        <v>11.43</v>
      </c>
    </row>
    <row r="61" spans="2:54" x14ac:dyDescent="0.2">
      <c r="B61" s="1" t="s">
        <v>74</v>
      </c>
    </row>
    <row r="62" spans="2:54" x14ac:dyDescent="0.2">
      <c r="B62" s="1"/>
    </row>
    <row r="63" spans="2:54" x14ac:dyDescent="0.2">
      <c r="B63" s="15" t="s">
        <v>304</v>
      </c>
    </row>
    <row r="64" spans="2:54" x14ac:dyDescent="0.2">
      <c r="B64" s="183" t="s">
        <v>305</v>
      </c>
      <c r="C64" s="184" t="s">
        <v>306</v>
      </c>
      <c r="D64" s="184" t="s">
        <v>307</v>
      </c>
      <c r="E64" s="184" t="s">
        <v>308</v>
      </c>
      <c r="F64" s="184" t="s">
        <v>309</v>
      </c>
      <c r="G64" s="184" t="s">
        <v>310</v>
      </c>
      <c r="H64" s="184" t="s">
        <v>311</v>
      </c>
      <c r="I64" s="184" t="s">
        <v>312</v>
      </c>
      <c r="J64" s="184" t="s">
        <v>313</v>
      </c>
      <c r="K64" s="184" t="s">
        <v>314</v>
      </c>
      <c r="L64" s="184" t="s">
        <v>315</v>
      </c>
    </row>
    <row r="65" spans="2:14" x14ac:dyDescent="0.2">
      <c r="B65" s="183" t="s">
        <v>316</v>
      </c>
      <c r="C65" s="18">
        <v>2</v>
      </c>
      <c r="D65" s="18">
        <v>1.8</v>
      </c>
      <c r="E65" s="18">
        <v>1.5</v>
      </c>
      <c r="F65" s="18">
        <v>1.4</v>
      </c>
      <c r="G65" s="18">
        <v>1.2</v>
      </c>
      <c r="H65" s="18">
        <v>1</v>
      </c>
      <c r="I65" s="18">
        <v>0.9</v>
      </c>
      <c r="J65" s="18">
        <v>0.75</v>
      </c>
      <c r="K65" s="18">
        <v>0.6</v>
      </c>
      <c r="L65" s="18">
        <v>0.4</v>
      </c>
    </row>
    <row r="66" spans="2:14" ht="12.75" x14ac:dyDescent="0.2">
      <c r="B66" s="18"/>
      <c r="C66" s="733" t="s">
        <v>317</v>
      </c>
      <c r="D66" s="734"/>
      <c r="E66" s="734"/>
      <c r="F66" s="735"/>
      <c r="G66" s="736" t="s">
        <v>318</v>
      </c>
      <c r="H66" s="737"/>
      <c r="I66" s="737"/>
      <c r="J66" s="737"/>
      <c r="K66" s="737"/>
      <c r="L66" s="738"/>
    </row>
    <row r="67" spans="2:14" x14ac:dyDescent="0.2">
      <c r="B67" s="1" t="s">
        <v>303</v>
      </c>
    </row>
    <row r="68" spans="2:14" x14ac:dyDescent="0.2">
      <c r="B68" s="1"/>
    </row>
    <row r="69" spans="2:14" x14ac:dyDescent="0.2">
      <c r="B69" s="1"/>
      <c r="C69" s="186" t="s">
        <v>319</v>
      </c>
      <c r="D69" s="187"/>
      <c r="E69" s="187"/>
      <c r="F69" s="187"/>
      <c r="G69" s="187"/>
      <c r="H69" s="187"/>
      <c r="I69" s="187"/>
      <c r="J69" s="187"/>
      <c r="K69" s="187"/>
      <c r="L69" s="188"/>
      <c r="M69" s="188"/>
      <c r="N69" s="189" t="s">
        <v>320</v>
      </c>
    </row>
    <row r="70" spans="2:14" x14ac:dyDescent="0.2">
      <c r="B70" s="185" t="s">
        <v>321</v>
      </c>
      <c r="C70" s="182">
        <v>4</v>
      </c>
      <c r="D70" s="182">
        <v>5</v>
      </c>
      <c r="E70" s="182">
        <v>6</v>
      </c>
      <c r="F70" s="182">
        <v>7</v>
      </c>
      <c r="G70" s="182">
        <v>8</v>
      </c>
      <c r="H70" s="182">
        <v>9</v>
      </c>
      <c r="I70" s="182">
        <v>10</v>
      </c>
      <c r="J70" s="182">
        <v>11</v>
      </c>
      <c r="K70" s="182">
        <v>12</v>
      </c>
      <c r="L70" s="182">
        <v>13</v>
      </c>
      <c r="M70" s="182">
        <v>14</v>
      </c>
      <c r="N70" s="182">
        <v>15</v>
      </c>
    </row>
    <row r="71" spans="2:14" x14ac:dyDescent="0.2">
      <c r="B71" s="1" t="s">
        <v>322</v>
      </c>
    </row>
    <row r="72" spans="2:14" x14ac:dyDescent="0.2">
      <c r="B72" s="1"/>
    </row>
    <row r="73" spans="2:14" x14ac:dyDescent="0.2">
      <c r="B73" s="719" t="s">
        <v>234</v>
      </c>
      <c r="C73" s="718" t="s">
        <v>130</v>
      </c>
      <c r="D73" s="718" t="s">
        <v>218</v>
      </c>
      <c r="E73" s="718"/>
      <c r="F73" s="718"/>
      <c r="G73" s="718"/>
      <c r="H73" s="718"/>
      <c r="I73" s="718"/>
    </row>
    <row r="74" spans="2:14" x14ac:dyDescent="0.2">
      <c r="B74" s="720"/>
      <c r="C74" s="718"/>
      <c r="D74" s="140" t="s">
        <v>222</v>
      </c>
      <c r="E74" s="140" t="s">
        <v>222</v>
      </c>
      <c r="F74" s="140" t="s">
        <v>222</v>
      </c>
      <c r="G74" s="140" t="s">
        <v>211</v>
      </c>
      <c r="H74" s="140" t="s">
        <v>222</v>
      </c>
      <c r="I74" s="140" t="s">
        <v>225</v>
      </c>
    </row>
    <row r="75" spans="2:14" ht="22.5" x14ac:dyDescent="0.2">
      <c r="B75" s="145" t="s">
        <v>221</v>
      </c>
      <c r="C75" s="718"/>
      <c r="D75" s="140" t="s">
        <v>223</v>
      </c>
      <c r="E75" s="140" t="s">
        <v>224</v>
      </c>
      <c r="F75" s="140" t="s">
        <v>232</v>
      </c>
      <c r="G75" s="140" t="s">
        <v>233</v>
      </c>
      <c r="H75" s="140" t="s">
        <v>233</v>
      </c>
      <c r="I75" s="140" t="s">
        <v>226</v>
      </c>
    </row>
    <row r="76" spans="2:14" x14ac:dyDescent="0.2">
      <c r="B76" s="131" t="s">
        <v>227</v>
      </c>
      <c r="C76" s="132" t="s">
        <v>228</v>
      </c>
      <c r="D76" s="43" t="s">
        <v>229</v>
      </c>
      <c r="E76" s="132" t="s">
        <v>229</v>
      </c>
      <c r="F76" s="132" t="s">
        <v>229</v>
      </c>
      <c r="G76" s="273">
        <v>2.6</v>
      </c>
      <c r="H76" s="132" t="s">
        <v>229</v>
      </c>
      <c r="I76" s="273">
        <v>2.4</v>
      </c>
    </row>
    <row r="77" spans="2:14" x14ac:dyDescent="0.2">
      <c r="B77" s="131" t="s">
        <v>230</v>
      </c>
      <c r="C77" s="132" t="s">
        <v>231</v>
      </c>
      <c r="D77" s="274">
        <v>9.9</v>
      </c>
      <c r="E77" s="273">
        <v>10.3</v>
      </c>
      <c r="F77" s="273">
        <v>26</v>
      </c>
      <c r="G77" s="132" t="s">
        <v>229</v>
      </c>
      <c r="H77" s="273">
        <v>12.8</v>
      </c>
      <c r="I77" s="132" t="s">
        <v>229</v>
      </c>
    </row>
    <row r="78" spans="2:14" x14ac:dyDescent="0.2">
      <c r="B78" s="1" t="s">
        <v>470</v>
      </c>
    </row>
    <row r="80" spans="2:14" ht="12.75" x14ac:dyDescent="0.2">
      <c r="B80" s="729" t="s">
        <v>236</v>
      </c>
      <c r="C80" s="730"/>
      <c r="D80" s="730"/>
      <c r="E80" s="730"/>
      <c r="F80" s="731"/>
      <c r="G80" s="731"/>
    </row>
    <row r="81" spans="2:54" x14ac:dyDescent="0.2">
      <c r="B81" s="146" t="s">
        <v>91</v>
      </c>
      <c r="C81" s="140" t="s">
        <v>239</v>
      </c>
      <c r="D81" s="140" t="s">
        <v>240</v>
      </c>
      <c r="E81" s="140" t="s">
        <v>241</v>
      </c>
      <c r="F81" s="147" t="s">
        <v>132</v>
      </c>
      <c r="G81" s="147" t="s">
        <v>242</v>
      </c>
    </row>
    <row r="82" spans="2:54" x14ac:dyDescent="0.2">
      <c r="B82" s="46" t="s">
        <v>237</v>
      </c>
      <c r="C82" s="91">
        <v>1.1000000000000001</v>
      </c>
      <c r="D82" s="91">
        <v>63</v>
      </c>
      <c r="E82" s="91">
        <v>0.02</v>
      </c>
      <c r="F82" s="78">
        <v>4.8</v>
      </c>
      <c r="G82" s="78">
        <v>10</v>
      </c>
    </row>
    <row r="83" spans="2:54" x14ac:dyDescent="0.2">
      <c r="B83" s="90" t="s">
        <v>238</v>
      </c>
      <c r="C83" s="91">
        <v>2</v>
      </c>
      <c r="D83" s="91">
        <v>54.4</v>
      </c>
      <c r="E83" s="91">
        <v>0.02</v>
      </c>
      <c r="F83" s="78">
        <v>4.5999999999999996</v>
      </c>
      <c r="G83" s="78">
        <v>10</v>
      </c>
    </row>
    <row r="84" spans="2:54" x14ac:dyDescent="0.2">
      <c r="B84" s="46" t="s">
        <v>226</v>
      </c>
      <c r="C84" s="91">
        <v>1</v>
      </c>
      <c r="D84" s="91">
        <v>39.9</v>
      </c>
      <c r="E84" s="91">
        <v>0.02</v>
      </c>
      <c r="F84" s="78">
        <v>4.7</v>
      </c>
      <c r="G84" s="78">
        <v>10</v>
      </c>
    </row>
    <row r="85" spans="2:54" x14ac:dyDescent="0.2">
      <c r="B85" s="1" t="s">
        <v>324</v>
      </c>
    </row>
    <row r="86" spans="2:54" x14ac:dyDescent="0.2">
      <c r="B86" s="1"/>
    </row>
    <row r="87" spans="2:54" ht="22.5" x14ac:dyDescent="0.2">
      <c r="B87" s="144" t="s">
        <v>138</v>
      </c>
      <c r="C87" s="139">
        <v>2024</v>
      </c>
      <c r="D87" s="139">
        <v>2025</v>
      </c>
      <c r="E87" s="139">
        <v>2026</v>
      </c>
      <c r="F87" s="139">
        <v>2027</v>
      </c>
      <c r="G87" s="139">
        <v>2028</v>
      </c>
      <c r="H87" s="139">
        <v>2029</v>
      </c>
      <c r="I87" s="139">
        <v>2030</v>
      </c>
      <c r="J87" s="139">
        <v>2031</v>
      </c>
      <c r="K87" s="139">
        <v>2032</v>
      </c>
      <c r="L87" s="139">
        <v>2033</v>
      </c>
      <c r="M87" s="139">
        <v>2034</v>
      </c>
      <c r="N87" s="139">
        <v>2035</v>
      </c>
      <c r="O87" s="139">
        <v>2036</v>
      </c>
      <c r="P87" s="139">
        <v>2037</v>
      </c>
      <c r="Q87" s="139">
        <v>2038</v>
      </c>
      <c r="R87" s="139">
        <v>2039</v>
      </c>
      <c r="S87" s="139">
        <v>2040</v>
      </c>
      <c r="T87" s="139">
        <v>2041</v>
      </c>
      <c r="U87" s="139">
        <v>2042</v>
      </c>
      <c r="V87" s="139">
        <v>2043</v>
      </c>
      <c r="W87" s="139">
        <v>2044</v>
      </c>
      <c r="X87" s="139">
        <v>2045</v>
      </c>
      <c r="Y87" s="139">
        <v>2046</v>
      </c>
      <c r="Z87" s="139">
        <v>2047</v>
      </c>
      <c r="AA87" s="139">
        <v>2048</v>
      </c>
      <c r="AB87" s="139">
        <v>2049</v>
      </c>
      <c r="AC87" s="139">
        <v>2050</v>
      </c>
      <c r="AD87" s="139">
        <v>2051</v>
      </c>
      <c r="AE87" s="139">
        <v>2052</v>
      </c>
      <c r="AF87" s="139">
        <v>2053</v>
      </c>
      <c r="AG87" s="139">
        <v>2054</v>
      </c>
      <c r="AH87" s="139">
        <v>2055</v>
      </c>
      <c r="AI87" s="139">
        <v>2056</v>
      </c>
      <c r="AJ87" s="139">
        <v>2057</v>
      </c>
      <c r="AK87" s="139">
        <v>2058</v>
      </c>
      <c r="AL87" s="139">
        <v>2059</v>
      </c>
      <c r="AM87" s="139">
        <v>2060</v>
      </c>
      <c r="AN87" s="139">
        <v>2061</v>
      </c>
      <c r="AO87" s="139">
        <v>2062</v>
      </c>
      <c r="AP87" s="139">
        <v>2063</v>
      </c>
      <c r="AQ87" s="139">
        <v>2064</v>
      </c>
      <c r="AR87" s="139">
        <v>2065</v>
      </c>
      <c r="AS87" s="139">
        <v>2066</v>
      </c>
      <c r="AT87" s="139">
        <v>2067</v>
      </c>
      <c r="AU87" s="139">
        <v>2068</v>
      </c>
      <c r="AV87" s="139">
        <v>2069</v>
      </c>
      <c r="AW87" s="139">
        <v>2070</v>
      </c>
      <c r="AX87" s="139">
        <v>2071</v>
      </c>
      <c r="AY87" s="139">
        <v>2072</v>
      </c>
      <c r="AZ87" s="139">
        <v>2073</v>
      </c>
      <c r="BA87" s="139">
        <v>2074</v>
      </c>
      <c r="BB87" s="139">
        <v>2075</v>
      </c>
    </row>
    <row r="88" spans="2:54" x14ac:dyDescent="0.2">
      <c r="B88" s="45" t="s">
        <v>140</v>
      </c>
      <c r="C88" s="95">
        <v>162.1</v>
      </c>
      <c r="D88" s="95">
        <f>ROUND(C88*(1+(0.8*D23)),2)</f>
        <v>165.6</v>
      </c>
      <c r="E88" s="95">
        <f t="shared" ref="E88:BB88" si="3">ROUND(D88*(1+(0.8*E23)),2)</f>
        <v>169.31</v>
      </c>
      <c r="F88" s="95">
        <f t="shared" si="3"/>
        <v>172.15</v>
      </c>
      <c r="G88" s="95">
        <f t="shared" si="3"/>
        <v>174.49</v>
      </c>
      <c r="H88" s="95">
        <f t="shared" si="3"/>
        <v>177</v>
      </c>
      <c r="I88" s="95">
        <f t="shared" si="3"/>
        <v>179.27</v>
      </c>
      <c r="J88" s="95">
        <f t="shared" si="3"/>
        <v>181.56</v>
      </c>
      <c r="K88" s="95">
        <f t="shared" si="3"/>
        <v>183.74</v>
      </c>
      <c r="L88" s="95">
        <f t="shared" si="3"/>
        <v>185.94</v>
      </c>
      <c r="M88" s="95">
        <f t="shared" si="3"/>
        <v>188.17</v>
      </c>
      <c r="N88" s="95">
        <f t="shared" si="3"/>
        <v>190.43</v>
      </c>
      <c r="O88" s="95">
        <f t="shared" si="3"/>
        <v>192.72</v>
      </c>
      <c r="P88" s="95">
        <f t="shared" si="3"/>
        <v>195.03</v>
      </c>
      <c r="Q88" s="95">
        <f t="shared" si="3"/>
        <v>197.37</v>
      </c>
      <c r="R88" s="95">
        <f t="shared" si="3"/>
        <v>199.74</v>
      </c>
      <c r="S88" s="95">
        <f t="shared" si="3"/>
        <v>202.14</v>
      </c>
      <c r="T88" s="95">
        <f t="shared" si="3"/>
        <v>204.57</v>
      </c>
      <c r="U88" s="95">
        <f t="shared" si="3"/>
        <v>206.7</v>
      </c>
      <c r="V88" s="95">
        <f t="shared" si="3"/>
        <v>208.85</v>
      </c>
      <c r="W88" s="95">
        <f t="shared" si="3"/>
        <v>211.02</v>
      </c>
      <c r="X88" s="95">
        <f t="shared" si="3"/>
        <v>213.21</v>
      </c>
      <c r="Y88" s="95">
        <f t="shared" si="3"/>
        <v>215.43</v>
      </c>
      <c r="Z88" s="95">
        <f t="shared" si="3"/>
        <v>217.67</v>
      </c>
      <c r="AA88" s="95">
        <f t="shared" si="3"/>
        <v>219.93</v>
      </c>
      <c r="AB88" s="95">
        <f t="shared" si="3"/>
        <v>222.22</v>
      </c>
      <c r="AC88" s="95">
        <f t="shared" si="3"/>
        <v>224.53</v>
      </c>
      <c r="AD88" s="95">
        <f t="shared" si="3"/>
        <v>226.87</v>
      </c>
      <c r="AE88" s="95">
        <f t="shared" si="3"/>
        <v>229.05</v>
      </c>
      <c r="AF88" s="95">
        <f t="shared" si="3"/>
        <v>231.25</v>
      </c>
      <c r="AG88" s="95">
        <f t="shared" si="3"/>
        <v>233.47</v>
      </c>
      <c r="AH88" s="95">
        <f t="shared" si="3"/>
        <v>235.71</v>
      </c>
      <c r="AI88" s="95">
        <f t="shared" si="3"/>
        <v>237.97</v>
      </c>
      <c r="AJ88" s="95">
        <f t="shared" si="3"/>
        <v>240.25</v>
      </c>
      <c r="AK88" s="95">
        <f t="shared" si="3"/>
        <v>242.56</v>
      </c>
      <c r="AL88" s="95">
        <f t="shared" si="3"/>
        <v>244.89</v>
      </c>
      <c r="AM88" s="95">
        <f t="shared" si="3"/>
        <v>247.24</v>
      </c>
      <c r="AN88" s="95">
        <f t="shared" si="3"/>
        <v>249.61</v>
      </c>
      <c r="AO88" s="95">
        <f t="shared" si="3"/>
        <v>252.21</v>
      </c>
      <c r="AP88" s="95">
        <f t="shared" si="3"/>
        <v>254.83</v>
      </c>
      <c r="AQ88" s="95">
        <f t="shared" si="3"/>
        <v>257.48</v>
      </c>
      <c r="AR88" s="95">
        <f t="shared" si="3"/>
        <v>260.16000000000003</v>
      </c>
      <c r="AS88" s="95">
        <f t="shared" si="3"/>
        <v>262.87</v>
      </c>
      <c r="AT88" s="95">
        <f t="shared" si="3"/>
        <v>265.60000000000002</v>
      </c>
      <c r="AU88" s="95">
        <f t="shared" si="3"/>
        <v>268.36</v>
      </c>
      <c r="AV88" s="95">
        <f t="shared" si="3"/>
        <v>271.14999999999998</v>
      </c>
      <c r="AW88" s="95">
        <f t="shared" si="3"/>
        <v>273.97000000000003</v>
      </c>
      <c r="AX88" s="95">
        <f t="shared" si="3"/>
        <v>276.82</v>
      </c>
      <c r="AY88" s="95">
        <f t="shared" si="3"/>
        <v>279.7</v>
      </c>
      <c r="AZ88" s="95">
        <f t="shared" si="3"/>
        <v>282.61</v>
      </c>
      <c r="BA88" s="95">
        <f t="shared" si="3"/>
        <v>285.55</v>
      </c>
      <c r="BB88" s="95">
        <f t="shared" si="3"/>
        <v>288.52</v>
      </c>
    </row>
    <row r="89" spans="2:54" x14ac:dyDescent="0.2">
      <c r="B89" s="45" t="s">
        <v>139</v>
      </c>
      <c r="C89" s="95">
        <v>91.1</v>
      </c>
      <c r="D89" s="95">
        <f>ROUND(C89*(1+(0.8*D23)),2)</f>
        <v>93.07</v>
      </c>
      <c r="E89" s="95">
        <f t="shared" ref="E89:BB89" si="4">ROUND(D89*(1+(0.8*E23)),2)</f>
        <v>95.15</v>
      </c>
      <c r="F89" s="95">
        <f t="shared" si="4"/>
        <v>96.75</v>
      </c>
      <c r="G89" s="95">
        <f t="shared" si="4"/>
        <v>98.07</v>
      </c>
      <c r="H89" s="95">
        <f t="shared" si="4"/>
        <v>99.48</v>
      </c>
      <c r="I89" s="95">
        <f t="shared" si="4"/>
        <v>100.75</v>
      </c>
      <c r="J89" s="95">
        <f t="shared" si="4"/>
        <v>102.04</v>
      </c>
      <c r="K89" s="95">
        <f t="shared" si="4"/>
        <v>103.26</v>
      </c>
      <c r="L89" s="95">
        <f t="shared" si="4"/>
        <v>104.5</v>
      </c>
      <c r="M89" s="95">
        <f t="shared" si="4"/>
        <v>105.75</v>
      </c>
      <c r="N89" s="95">
        <f t="shared" si="4"/>
        <v>107.02</v>
      </c>
      <c r="O89" s="95">
        <f t="shared" si="4"/>
        <v>108.3</v>
      </c>
      <c r="P89" s="95">
        <f t="shared" si="4"/>
        <v>109.6</v>
      </c>
      <c r="Q89" s="95">
        <f t="shared" si="4"/>
        <v>110.92</v>
      </c>
      <c r="R89" s="95">
        <f t="shared" si="4"/>
        <v>112.25</v>
      </c>
      <c r="S89" s="95">
        <f t="shared" si="4"/>
        <v>113.6</v>
      </c>
      <c r="T89" s="95">
        <f t="shared" si="4"/>
        <v>114.96</v>
      </c>
      <c r="U89" s="95">
        <f t="shared" si="4"/>
        <v>116.16</v>
      </c>
      <c r="V89" s="95">
        <f t="shared" si="4"/>
        <v>117.37</v>
      </c>
      <c r="W89" s="95">
        <f t="shared" si="4"/>
        <v>118.59</v>
      </c>
      <c r="X89" s="95">
        <f t="shared" si="4"/>
        <v>119.82</v>
      </c>
      <c r="Y89" s="95">
        <f t="shared" si="4"/>
        <v>121.07</v>
      </c>
      <c r="Z89" s="95">
        <f t="shared" si="4"/>
        <v>122.33</v>
      </c>
      <c r="AA89" s="95">
        <f t="shared" si="4"/>
        <v>123.6</v>
      </c>
      <c r="AB89" s="95">
        <f t="shared" si="4"/>
        <v>124.89</v>
      </c>
      <c r="AC89" s="95">
        <f t="shared" si="4"/>
        <v>126.19</v>
      </c>
      <c r="AD89" s="95">
        <f t="shared" si="4"/>
        <v>127.5</v>
      </c>
      <c r="AE89" s="95">
        <f t="shared" si="4"/>
        <v>128.72</v>
      </c>
      <c r="AF89" s="95">
        <f t="shared" si="4"/>
        <v>129.96</v>
      </c>
      <c r="AG89" s="95">
        <f t="shared" si="4"/>
        <v>131.21</v>
      </c>
      <c r="AH89" s="95">
        <f t="shared" si="4"/>
        <v>132.47</v>
      </c>
      <c r="AI89" s="95">
        <f t="shared" si="4"/>
        <v>133.74</v>
      </c>
      <c r="AJ89" s="95">
        <f t="shared" si="4"/>
        <v>135.02000000000001</v>
      </c>
      <c r="AK89" s="95">
        <f t="shared" si="4"/>
        <v>136.32</v>
      </c>
      <c r="AL89" s="95">
        <f t="shared" si="4"/>
        <v>137.63</v>
      </c>
      <c r="AM89" s="95">
        <f t="shared" si="4"/>
        <v>138.94999999999999</v>
      </c>
      <c r="AN89" s="95">
        <f t="shared" si="4"/>
        <v>140.28</v>
      </c>
      <c r="AO89" s="95">
        <f t="shared" si="4"/>
        <v>141.74</v>
      </c>
      <c r="AP89" s="95">
        <f t="shared" si="4"/>
        <v>143.21</v>
      </c>
      <c r="AQ89" s="95">
        <f t="shared" si="4"/>
        <v>144.69999999999999</v>
      </c>
      <c r="AR89" s="95">
        <f t="shared" si="4"/>
        <v>146.19999999999999</v>
      </c>
      <c r="AS89" s="95">
        <f t="shared" si="4"/>
        <v>147.72</v>
      </c>
      <c r="AT89" s="95">
        <f t="shared" si="4"/>
        <v>149.26</v>
      </c>
      <c r="AU89" s="95">
        <f t="shared" si="4"/>
        <v>150.81</v>
      </c>
      <c r="AV89" s="95">
        <f t="shared" si="4"/>
        <v>152.38</v>
      </c>
      <c r="AW89" s="95">
        <f t="shared" si="4"/>
        <v>153.96</v>
      </c>
      <c r="AX89" s="95">
        <f t="shared" si="4"/>
        <v>155.56</v>
      </c>
      <c r="AY89" s="95">
        <f t="shared" si="4"/>
        <v>157.18</v>
      </c>
      <c r="AZ89" s="95">
        <f t="shared" si="4"/>
        <v>158.81</v>
      </c>
      <c r="BA89" s="95">
        <f t="shared" si="4"/>
        <v>160.46</v>
      </c>
      <c r="BB89" s="95">
        <f t="shared" si="4"/>
        <v>162.13</v>
      </c>
    </row>
    <row r="90" spans="2:54" x14ac:dyDescent="0.2">
      <c r="B90" s="45" t="s">
        <v>144</v>
      </c>
      <c r="C90" s="95">
        <v>38.299999999999997</v>
      </c>
      <c r="D90" s="95">
        <f>ROUND(C90*(1+(0.8*D23)),2)</f>
        <v>39.130000000000003</v>
      </c>
      <c r="E90" s="95">
        <f t="shared" ref="E90:BB90" si="5">ROUND(D90*(1+(0.8*E23)),2)</f>
        <v>40.01</v>
      </c>
      <c r="F90" s="95">
        <f t="shared" si="5"/>
        <v>40.68</v>
      </c>
      <c r="G90" s="95">
        <f t="shared" si="5"/>
        <v>41.23</v>
      </c>
      <c r="H90" s="95">
        <f t="shared" si="5"/>
        <v>41.82</v>
      </c>
      <c r="I90" s="95">
        <f t="shared" si="5"/>
        <v>42.36</v>
      </c>
      <c r="J90" s="95">
        <f t="shared" si="5"/>
        <v>42.9</v>
      </c>
      <c r="K90" s="95">
        <f t="shared" si="5"/>
        <v>43.41</v>
      </c>
      <c r="L90" s="95">
        <f t="shared" si="5"/>
        <v>43.93</v>
      </c>
      <c r="M90" s="95">
        <f t="shared" si="5"/>
        <v>44.46</v>
      </c>
      <c r="N90" s="95">
        <f t="shared" si="5"/>
        <v>44.99</v>
      </c>
      <c r="O90" s="95">
        <f t="shared" si="5"/>
        <v>45.53</v>
      </c>
      <c r="P90" s="95">
        <f t="shared" si="5"/>
        <v>46.08</v>
      </c>
      <c r="Q90" s="95">
        <f t="shared" si="5"/>
        <v>46.63</v>
      </c>
      <c r="R90" s="95">
        <f t="shared" si="5"/>
        <v>47.19</v>
      </c>
      <c r="S90" s="95">
        <f t="shared" si="5"/>
        <v>47.76</v>
      </c>
      <c r="T90" s="95">
        <f t="shared" si="5"/>
        <v>48.33</v>
      </c>
      <c r="U90" s="95">
        <f t="shared" si="5"/>
        <v>48.83</v>
      </c>
      <c r="V90" s="95">
        <f t="shared" si="5"/>
        <v>49.34</v>
      </c>
      <c r="W90" s="95">
        <f t="shared" si="5"/>
        <v>49.85</v>
      </c>
      <c r="X90" s="95">
        <f t="shared" si="5"/>
        <v>50.37</v>
      </c>
      <c r="Y90" s="95">
        <f t="shared" si="5"/>
        <v>50.89</v>
      </c>
      <c r="Z90" s="95">
        <f t="shared" si="5"/>
        <v>51.42</v>
      </c>
      <c r="AA90" s="95">
        <f t="shared" si="5"/>
        <v>51.95</v>
      </c>
      <c r="AB90" s="95">
        <f t="shared" si="5"/>
        <v>52.49</v>
      </c>
      <c r="AC90" s="95">
        <f t="shared" si="5"/>
        <v>53.04</v>
      </c>
      <c r="AD90" s="95">
        <f t="shared" si="5"/>
        <v>53.59</v>
      </c>
      <c r="AE90" s="95">
        <f t="shared" si="5"/>
        <v>54.1</v>
      </c>
      <c r="AF90" s="95">
        <f t="shared" si="5"/>
        <v>54.62</v>
      </c>
      <c r="AG90" s="95">
        <f t="shared" si="5"/>
        <v>55.14</v>
      </c>
      <c r="AH90" s="95">
        <f t="shared" si="5"/>
        <v>55.67</v>
      </c>
      <c r="AI90" s="95">
        <f t="shared" si="5"/>
        <v>56.2</v>
      </c>
      <c r="AJ90" s="95">
        <f t="shared" si="5"/>
        <v>56.74</v>
      </c>
      <c r="AK90" s="95">
        <f t="shared" si="5"/>
        <v>57.28</v>
      </c>
      <c r="AL90" s="95">
        <f t="shared" si="5"/>
        <v>57.83</v>
      </c>
      <c r="AM90" s="95">
        <f t="shared" si="5"/>
        <v>58.39</v>
      </c>
      <c r="AN90" s="95">
        <f t="shared" si="5"/>
        <v>58.95</v>
      </c>
      <c r="AO90" s="95">
        <f t="shared" si="5"/>
        <v>59.56</v>
      </c>
      <c r="AP90" s="95">
        <f t="shared" si="5"/>
        <v>60.18</v>
      </c>
      <c r="AQ90" s="95">
        <f t="shared" si="5"/>
        <v>60.81</v>
      </c>
      <c r="AR90" s="95">
        <f t="shared" si="5"/>
        <v>61.44</v>
      </c>
      <c r="AS90" s="95">
        <f t="shared" si="5"/>
        <v>62.08</v>
      </c>
      <c r="AT90" s="95">
        <f t="shared" si="5"/>
        <v>62.73</v>
      </c>
      <c r="AU90" s="95">
        <f t="shared" si="5"/>
        <v>63.38</v>
      </c>
      <c r="AV90" s="95">
        <f t="shared" si="5"/>
        <v>64.040000000000006</v>
      </c>
      <c r="AW90" s="95">
        <f t="shared" si="5"/>
        <v>64.709999999999994</v>
      </c>
      <c r="AX90" s="95">
        <f t="shared" si="5"/>
        <v>65.38</v>
      </c>
      <c r="AY90" s="95">
        <f t="shared" si="5"/>
        <v>66.06</v>
      </c>
      <c r="AZ90" s="95">
        <f t="shared" si="5"/>
        <v>66.75</v>
      </c>
      <c r="BA90" s="95">
        <f t="shared" si="5"/>
        <v>67.44</v>
      </c>
      <c r="BB90" s="95">
        <f t="shared" si="5"/>
        <v>68.14</v>
      </c>
    </row>
    <row r="91" spans="2:54" x14ac:dyDescent="0.2">
      <c r="B91" s="45" t="s">
        <v>145</v>
      </c>
      <c r="C91" s="95">
        <v>22.7</v>
      </c>
      <c r="D91" s="95">
        <f>ROUND(C91*(1+(0.8*D23)),2)</f>
        <v>23.19</v>
      </c>
      <c r="E91" s="95">
        <f t="shared" ref="E91:BB91" si="6">ROUND(D91*(1+(0.8*E23)),2)</f>
        <v>23.71</v>
      </c>
      <c r="F91" s="95">
        <f t="shared" si="6"/>
        <v>24.11</v>
      </c>
      <c r="G91" s="95">
        <f t="shared" si="6"/>
        <v>24.44</v>
      </c>
      <c r="H91" s="95">
        <f t="shared" si="6"/>
        <v>24.79</v>
      </c>
      <c r="I91" s="95">
        <f t="shared" si="6"/>
        <v>25.11</v>
      </c>
      <c r="J91" s="95">
        <f t="shared" si="6"/>
        <v>25.43</v>
      </c>
      <c r="K91" s="95">
        <f t="shared" si="6"/>
        <v>25.74</v>
      </c>
      <c r="L91" s="95">
        <f t="shared" si="6"/>
        <v>26.05</v>
      </c>
      <c r="M91" s="95">
        <f t="shared" si="6"/>
        <v>26.36</v>
      </c>
      <c r="N91" s="95">
        <f t="shared" si="6"/>
        <v>26.68</v>
      </c>
      <c r="O91" s="95">
        <f t="shared" si="6"/>
        <v>27</v>
      </c>
      <c r="P91" s="95">
        <f t="shared" si="6"/>
        <v>27.32</v>
      </c>
      <c r="Q91" s="95">
        <f t="shared" si="6"/>
        <v>27.65</v>
      </c>
      <c r="R91" s="95">
        <f t="shared" si="6"/>
        <v>27.98</v>
      </c>
      <c r="S91" s="95">
        <f t="shared" si="6"/>
        <v>28.32</v>
      </c>
      <c r="T91" s="95">
        <f t="shared" si="6"/>
        <v>28.66</v>
      </c>
      <c r="U91" s="95">
        <f t="shared" si="6"/>
        <v>28.96</v>
      </c>
      <c r="V91" s="95">
        <f t="shared" si="6"/>
        <v>29.26</v>
      </c>
      <c r="W91" s="95">
        <f t="shared" si="6"/>
        <v>29.56</v>
      </c>
      <c r="X91" s="95">
        <f t="shared" si="6"/>
        <v>29.87</v>
      </c>
      <c r="Y91" s="95">
        <f t="shared" si="6"/>
        <v>30.18</v>
      </c>
      <c r="Z91" s="95">
        <f t="shared" si="6"/>
        <v>30.49</v>
      </c>
      <c r="AA91" s="95">
        <f t="shared" si="6"/>
        <v>30.81</v>
      </c>
      <c r="AB91" s="95">
        <f t="shared" si="6"/>
        <v>31.13</v>
      </c>
      <c r="AC91" s="95">
        <f t="shared" si="6"/>
        <v>31.45</v>
      </c>
      <c r="AD91" s="95">
        <f t="shared" si="6"/>
        <v>31.78</v>
      </c>
      <c r="AE91" s="95">
        <f t="shared" si="6"/>
        <v>32.090000000000003</v>
      </c>
      <c r="AF91" s="95">
        <f t="shared" si="6"/>
        <v>32.4</v>
      </c>
      <c r="AG91" s="95">
        <f t="shared" si="6"/>
        <v>32.71</v>
      </c>
      <c r="AH91" s="95">
        <f t="shared" si="6"/>
        <v>33.020000000000003</v>
      </c>
      <c r="AI91" s="95">
        <f t="shared" si="6"/>
        <v>33.340000000000003</v>
      </c>
      <c r="AJ91" s="95">
        <f t="shared" si="6"/>
        <v>33.659999999999997</v>
      </c>
      <c r="AK91" s="95">
        <f t="shared" si="6"/>
        <v>33.979999999999997</v>
      </c>
      <c r="AL91" s="95">
        <f t="shared" si="6"/>
        <v>34.31</v>
      </c>
      <c r="AM91" s="95">
        <f t="shared" si="6"/>
        <v>34.64</v>
      </c>
      <c r="AN91" s="95">
        <f t="shared" si="6"/>
        <v>34.97</v>
      </c>
      <c r="AO91" s="95">
        <f t="shared" si="6"/>
        <v>35.33</v>
      </c>
      <c r="AP91" s="95">
        <f t="shared" si="6"/>
        <v>35.700000000000003</v>
      </c>
      <c r="AQ91" s="95">
        <f t="shared" si="6"/>
        <v>36.07</v>
      </c>
      <c r="AR91" s="95">
        <f t="shared" si="6"/>
        <v>36.450000000000003</v>
      </c>
      <c r="AS91" s="95">
        <f t="shared" si="6"/>
        <v>36.83</v>
      </c>
      <c r="AT91" s="95">
        <f t="shared" si="6"/>
        <v>37.21</v>
      </c>
      <c r="AU91" s="95">
        <f t="shared" si="6"/>
        <v>37.6</v>
      </c>
      <c r="AV91" s="95">
        <f t="shared" si="6"/>
        <v>37.99</v>
      </c>
      <c r="AW91" s="95">
        <f t="shared" si="6"/>
        <v>38.39</v>
      </c>
      <c r="AX91" s="95">
        <f t="shared" si="6"/>
        <v>38.79</v>
      </c>
      <c r="AY91" s="95">
        <f t="shared" si="6"/>
        <v>39.19</v>
      </c>
      <c r="AZ91" s="95">
        <f t="shared" si="6"/>
        <v>39.6</v>
      </c>
      <c r="BA91" s="95">
        <f t="shared" si="6"/>
        <v>40.01</v>
      </c>
      <c r="BB91" s="95">
        <f t="shared" si="6"/>
        <v>40.43</v>
      </c>
    </row>
    <row r="92" spans="2:54" x14ac:dyDescent="0.2">
      <c r="B92" s="45" t="s">
        <v>143</v>
      </c>
      <c r="C92" s="95">
        <v>15.6</v>
      </c>
      <c r="D92" s="95">
        <f>ROUND(C92*(1+(0.8*D23)),2)</f>
        <v>15.94</v>
      </c>
      <c r="E92" s="95">
        <f t="shared" ref="E92:BB92" si="7">ROUND(D92*(1+(0.8*E23)),2)</f>
        <v>16.3</v>
      </c>
      <c r="F92" s="95">
        <f t="shared" si="7"/>
        <v>16.57</v>
      </c>
      <c r="G92" s="95">
        <f t="shared" si="7"/>
        <v>16.8</v>
      </c>
      <c r="H92" s="95">
        <f t="shared" si="7"/>
        <v>17.04</v>
      </c>
      <c r="I92" s="95">
        <f t="shared" si="7"/>
        <v>17.260000000000002</v>
      </c>
      <c r="J92" s="95">
        <f t="shared" si="7"/>
        <v>17.48</v>
      </c>
      <c r="K92" s="95">
        <f t="shared" si="7"/>
        <v>17.690000000000001</v>
      </c>
      <c r="L92" s="95">
        <f t="shared" si="7"/>
        <v>17.899999999999999</v>
      </c>
      <c r="M92" s="95">
        <f t="shared" si="7"/>
        <v>18.11</v>
      </c>
      <c r="N92" s="95">
        <f t="shared" si="7"/>
        <v>18.329999999999998</v>
      </c>
      <c r="O92" s="95">
        <f t="shared" si="7"/>
        <v>18.55</v>
      </c>
      <c r="P92" s="95">
        <f t="shared" si="7"/>
        <v>18.77</v>
      </c>
      <c r="Q92" s="95">
        <f t="shared" si="7"/>
        <v>19</v>
      </c>
      <c r="R92" s="95">
        <f t="shared" si="7"/>
        <v>19.23</v>
      </c>
      <c r="S92" s="95">
        <f t="shared" si="7"/>
        <v>19.46</v>
      </c>
      <c r="T92" s="95">
        <f t="shared" si="7"/>
        <v>19.690000000000001</v>
      </c>
      <c r="U92" s="95">
        <f t="shared" si="7"/>
        <v>19.89</v>
      </c>
      <c r="V92" s="95">
        <f t="shared" si="7"/>
        <v>20.100000000000001</v>
      </c>
      <c r="W92" s="95">
        <f t="shared" si="7"/>
        <v>20.309999999999999</v>
      </c>
      <c r="X92" s="95">
        <f t="shared" si="7"/>
        <v>20.52</v>
      </c>
      <c r="Y92" s="95">
        <f t="shared" si="7"/>
        <v>20.73</v>
      </c>
      <c r="Z92" s="95">
        <f t="shared" si="7"/>
        <v>20.95</v>
      </c>
      <c r="AA92" s="95">
        <f t="shared" si="7"/>
        <v>21.17</v>
      </c>
      <c r="AB92" s="95">
        <f t="shared" si="7"/>
        <v>21.39</v>
      </c>
      <c r="AC92" s="95">
        <f t="shared" si="7"/>
        <v>21.61</v>
      </c>
      <c r="AD92" s="95">
        <f t="shared" si="7"/>
        <v>21.83</v>
      </c>
      <c r="AE92" s="95">
        <f t="shared" si="7"/>
        <v>22.04</v>
      </c>
      <c r="AF92" s="95">
        <f t="shared" si="7"/>
        <v>22.25</v>
      </c>
      <c r="AG92" s="95">
        <f t="shared" si="7"/>
        <v>22.46</v>
      </c>
      <c r="AH92" s="95">
        <f t="shared" si="7"/>
        <v>22.68</v>
      </c>
      <c r="AI92" s="95">
        <f t="shared" si="7"/>
        <v>22.9</v>
      </c>
      <c r="AJ92" s="95">
        <f t="shared" si="7"/>
        <v>23.12</v>
      </c>
      <c r="AK92" s="95">
        <f t="shared" si="7"/>
        <v>23.34</v>
      </c>
      <c r="AL92" s="95">
        <f t="shared" si="7"/>
        <v>23.56</v>
      </c>
      <c r="AM92" s="95">
        <f t="shared" si="7"/>
        <v>23.79</v>
      </c>
      <c r="AN92" s="95">
        <f t="shared" si="7"/>
        <v>24.02</v>
      </c>
      <c r="AO92" s="95">
        <f t="shared" si="7"/>
        <v>24.27</v>
      </c>
      <c r="AP92" s="95">
        <f t="shared" si="7"/>
        <v>24.52</v>
      </c>
      <c r="AQ92" s="95">
        <f t="shared" si="7"/>
        <v>24.78</v>
      </c>
      <c r="AR92" s="95">
        <f t="shared" si="7"/>
        <v>25.04</v>
      </c>
      <c r="AS92" s="95">
        <f t="shared" si="7"/>
        <v>25.3</v>
      </c>
      <c r="AT92" s="95">
        <f t="shared" si="7"/>
        <v>25.56</v>
      </c>
      <c r="AU92" s="95">
        <f t="shared" si="7"/>
        <v>25.83</v>
      </c>
      <c r="AV92" s="95">
        <f t="shared" si="7"/>
        <v>26.1</v>
      </c>
      <c r="AW92" s="95">
        <f t="shared" si="7"/>
        <v>26.37</v>
      </c>
      <c r="AX92" s="95">
        <f t="shared" si="7"/>
        <v>26.64</v>
      </c>
      <c r="AY92" s="95">
        <f t="shared" si="7"/>
        <v>26.92</v>
      </c>
      <c r="AZ92" s="95">
        <f t="shared" si="7"/>
        <v>27.2</v>
      </c>
      <c r="BA92" s="95">
        <f t="shared" si="7"/>
        <v>27.48</v>
      </c>
      <c r="BB92" s="95">
        <f t="shared" si="7"/>
        <v>27.77</v>
      </c>
    </row>
    <row r="93" spans="2:54" x14ac:dyDescent="0.2">
      <c r="B93" s="45" t="s">
        <v>141</v>
      </c>
      <c r="C93" s="95">
        <v>1.1000000000000001</v>
      </c>
      <c r="D93" s="95">
        <f>ROUND(C93*(1+(0.8*D23)),2)</f>
        <v>1.1200000000000001</v>
      </c>
      <c r="E93" s="95">
        <f t="shared" ref="E93:BB93" si="8">ROUND(D93*(1+(0.8*E23)),2)</f>
        <v>1.1499999999999999</v>
      </c>
      <c r="F93" s="95">
        <f t="shared" si="8"/>
        <v>1.17</v>
      </c>
      <c r="G93" s="95">
        <f t="shared" si="8"/>
        <v>1.19</v>
      </c>
      <c r="H93" s="95">
        <f t="shared" si="8"/>
        <v>1.21</v>
      </c>
      <c r="I93" s="95">
        <f t="shared" si="8"/>
        <v>1.23</v>
      </c>
      <c r="J93" s="95">
        <f t="shared" si="8"/>
        <v>1.25</v>
      </c>
      <c r="K93" s="95">
        <f t="shared" si="8"/>
        <v>1.27</v>
      </c>
      <c r="L93" s="95">
        <f t="shared" si="8"/>
        <v>1.29</v>
      </c>
      <c r="M93" s="95">
        <f t="shared" si="8"/>
        <v>1.31</v>
      </c>
      <c r="N93" s="95">
        <f t="shared" si="8"/>
        <v>1.33</v>
      </c>
      <c r="O93" s="95">
        <f t="shared" si="8"/>
        <v>1.35</v>
      </c>
      <c r="P93" s="95">
        <f t="shared" si="8"/>
        <v>1.37</v>
      </c>
      <c r="Q93" s="95">
        <f t="shared" si="8"/>
        <v>1.39</v>
      </c>
      <c r="R93" s="95">
        <f t="shared" si="8"/>
        <v>1.41</v>
      </c>
      <c r="S93" s="95">
        <f t="shared" si="8"/>
        <v>1.43</v>
      </c>
      <c r="T93" s="95">
        <f t="shared" si="8"/>
        <v>1.45</v>
      </c>
      <c r="U93" s="95">
        <f t="shared" si="8"/>
        <v>1.47</v>
      </c>
      <c r="V93" s="95">
        <f t="shared" si="8"/>
        <v>1.49</v>
      </c>
      <c r="W93" s="95">
        <f t="shared" si="8"/>
        <v>1.51</v>
      </c>
      <c r="X93" s="95">
        <f t="shared" si="8"/>
        <v>1.53</v>
      </c>
      <c r="Y93" s="95">
        <f t="shared" si="8"/>
        <v>1.55</v>
      </c>
      <c r="Z93" s="95">
        <f t="shared" si="8"/>
        <v>1.57</v>
      </c>
      <c r="AA93" s="95">
        <f t="shared" si="8"/>
        <v>1.59</v>
      </c>
      <c r="AB93" s="95">
        <f t="shared" si="8"/>
        <v>1.61</v>
      </c>
      <c r="AC93" s="95">
        <f t="shared" si="8"/>
        <v>1.63</v>
      </c>
      <c r="AD93" s="95">
        <f t="shared" si="8"/>
        <v>1.65</v>
      </c>
      <c r="AE93" s="95">
        <f t="shared" si="8"/>
        <v>1.67</v>
      </c>
      <c r="AF93" s="95">
        <f t="shared" si="8"/>
        <v>1.69</v>
      </c>
      <c r="AG93" s="95">
        <f t="shared" si="8"/>
        <v>1.71</v>
      </c>
      <c r="AH93" s="95">
        <f t="shared" si="8"/>
        <v>1.73</v>
      </c>
      <c r="AI93" s="95">
        <f t="shared" si="8"/>
        <v>1.75</v>
      </c>
      <c r="AJ93" s="95">
        <f t="shared" si="8"/>
        <v>1.77</v>
      </c>
      <c r="AK93" s="95">
        <f t="shared" si="8"/>
        <v>1.79</v>
      </c>
      <c r="AL93" s="95">
        <f t="shared" si="8"/>
        <v>1.81</v>
      </c>
      <c r="AM93" s="95">
        <f t="shared" si="8"/>
        <v>1.83</v>
      </c>
      <c r="AN93" s="95">
        <f t="shared" si="8"/>
        <v>1.85</v>
      </c>
      <c r="AO93" s="95">
        <f t="shared" si="8"/>
        <v>1.87</v>
      </c>
      <c r="AP93" s="95">
        <f t="shared" si="8"/>
        <v>1.89</v>
      </c>
      <c r="AQ93" s="95">
        <f t="shared" si="8"/>
        <v>1.91</v>
      </c>
      <c r="AR93" s="95">
        <f t="shared" si="8"/>
        <v>1.93</v>
      </c>
      <c r="AS93" s="95">
        <f t="shared" si="8"/>
        <v>1.95</v>
      </c>
      <c r="AT93" s="95">
        <f t="shared" si="8"/>
        <v>1.97</v>
      </c>
      <c r="AU93" s="95">
        <f t="shared" si="8"/>
        <v>1.99</v>
      </c>
      <c r="AV93" s="95">
        <f t="shared" si="8"/>
        <v>2.0099999999999998</v>
      </c>
      <c r="AW93" s="95">
        <f t="shared" si="8"/>
        <v>2.0299999999999998</v>
      </c>
      <c r="AX93" s="95">
        <f t="shared" si="8"/>
        <v>2.0499999999999998</v>
      </c>
      <c r="AY93" s="95">
        <f t="shared" si="8"/>
        <v>2.0699999999999998</v>
      </c>
      <c r="AZ93" s="95">
        <f t="shared" si="8"/>
        <v>2.09</v>
      </c>
      <c r="BA93" s="95">
        <f t="shared" si="8"/>
        <v>2.11</v>
      </c>
      <c r="BB93" s="95">
        <f t="shared" si="8"/>
        <v>2.13</v>
      </c>
    </row>
    <row r="94" spans="2:54" x14ac:dyDescent="0.2">
      <c r="B94" s="45" t="s">
        <v>142</v>
      </c>
      <c r="C94" s="95">
        <v>37.700000000000003</v>
      </c>
      <c r="D94" s="95">
        <f>ROUND(C94*(1+(0.8*D23)),2)</f>
        <v>38.51</v>
      </c>
      <c r="E94" s="95">
        <f t="shared" ref="E94:BB94" si="9">ROUND(D94*(1+(0.8*E23)),2)</f>
        <v>39.369999999999997</v>
      </c>
      <c r="F94" s="95">
        <f t="shared" si="9"/>
        <v>40.03</v>
      </c>
      <c r="G94" s="95">
        <f t="shared" si="9"/>
        <v>40.57</v>
      </c>
      <c r="H94" s="95">
        <f t="shared" si="9"/>
        <v>41.15</v>
      </c>
      <c r="I94" s="95">
        <f t="shared" si="9"/>
        <v>41.68</v>
      </c>
      <c r="J94" s="95">
        <f t="shared" si="9"/>
        <v>42.21</v>
      </c>
      <c r="K94" s="95">
        <f t="shared" si="9"/>
        <v>42.72</v>
      </c>
      <c r="L94" s="95">
        <f t="shared" si="9"/>
        <v>43.23</v>
      </c>
      <c r="M94" s="95">
        <f t="shared" si="9"/>
        <v>43.75</v>
      </c>
      <c r="N94" s="95">
        <f t="shared" si="9"/>
        <v>44.28</v>
      </c>
      <c r="O94" s="95">
        <f t="shared" si="9"/>
        <v>44.81</v>
      </c>
      <c r="P94" s="95">
        <f t="shared" si="9"/>
        <v>45.35</v>
      </c>
      <c r="Q94" s="95">
        <f t="shared" si="9"/>
        <v>45.89</v>
      </c>
      <c r="R94" s="95">
        <f t="shared" si="9"/>
        <v>46.44</v>
      </c>
      <c r="S94" s="95">
        <f t="shared" si="9"/>
        <v>47</v>
      </c>
      <c r="T94" s="95">
        <f t="shared" si="9"/>
        <v>47.56</v>
      </c>
      <c r="U94" s="95">
        <f t="shared" si="9"/>
        <v>48.05</v>
      </c>
      <c r="V94" s="95">
        <f t="shared" si="9"/>
        <v>48.55</v>
      </c>
      <c r="W94" s="95">
        <f t="shared" si="9"/>
        <v>49.05</v>
      </c>
      <c r="X94" s="95">
        <f t="shared" si="9"/>
        <v>49.56</v>
      </c>
      <c r="Y94" s="95">
        <f t="shared" si="9"/>
        <v>50.08</v>
      </c>
      <c r="Z94" s="95">
        <f t="shared" si="9"/>
        <v>50.6</v>
      </c>
      <c r="AA94" s="95">
        <f t="shared" si="9"/>
        <v>51.13</v>
      </c>
      <c r="AB94" s="95">
        <f t="shared" si="9"/>
        <v>51.66</v>
      </c>
      <c r="AC94" s="95">
        <f t="shared" si="9"/>
        <v>52.2</v>
      </c>
      <c r="AD94" s="95">
        <f t="shared" si="9"/>
        <v>52.74</v>
      </c>
      <c r="AE94" s="95">
        <f t="shared" si="9"/>
        <v>53.25</v>
      </c>
      <c r="AF94" s="95">
        <f t="shared" si="9"/>
        <v>53.76</v>
      </c>
      <c r="AG94" s="95">
        <f t="shared" si="9"/>
        <v>54.28</v>
      </c>
      <c r="AH94" s="95">
        <f t="shared" si="9"/>
        <v>54.8</v>
      </c>
      <c r="AI94" s="95">
        <f t="shared" si="9"/>
        <v>55.33</v>
      </c>
      <c r="AJ94" s="95">
        <f t="shared" si="9"/>
        <v>55.86</v>
      </c>
      <c r="AK94" s="95">
        <f t="shared" si="9"/>
        <v>56.4</v>
      </c>
      <c r="AL94" s="95">
        <f t="shared" si="9"/>
        <v>56.94</v>
      </c>
      <c r="AM94" s="95">
        <f t="shared" si="9"/>
        <v>57.49</v>
      </c>
      <c r="AN94" s="95">
        <f t="shared" si="9"/>
        <v>58.04</v>
      </c>
      <c r="AO94" s="95">
        <f t="shared" si="9"/>
        <v>58.64</v>
      </c>
      <c r="AP94" s="95">
        <f t="shared" si="9"/>
        <v>59.25</v>
      </c>
      <c r="AQ94" s="95">
        <f t="shared" si="9"/>
        <v>59.87</v>
      </c>
      <c r="AR94" s="95">
        <f t="shared" si="9"/>
        <v>60.49</v>
      </c>
      <c r="AS94" s="95">
        <f t="shared" si="9"/>
        <v>61.12</v>
      </c>
      <c r="AT94" s="95">
        <f t="shared" si="9"/>
        <v>61.76</v>
      </c>
      <c r="AU94" s="95">
        <f t="shared" si="9"/>
        <v>62.4</v>
      </c>
      <c r="AV94" s="95">
        <f t="shared" si="9"/>
        <v>63.05</v>
      </c>
      <c r="AW94" s="95">
        <f t="shared" si="9"/>
        <v>63.71</v>
      </c>
      <c r="AX94" s="95">
        <f t="shared" si="9"/>
        <v>64.37</v>
      </c>
      <c r="AY94" s="95">
        <f t="shared" si="9"/>
        <v>65.040000000000006</v>
      </c>
      <c r="AZ94" s="95">
        <f t="shared" si="9"/>
        <v>65.72</v>
      </c>
      <c r="BA94" s="95">
        <f t="shared" si="9"/>
        <v>66.400000000000006</v>
      </c>
      <c r="BB94" s="95">
        <f t="shared" si="9"/>
        <v>67.09</v>
      </c>
    </row>
    <row r="95" spans="2:54" x14ac:dyDescent="0.2">
      <c r="B95" s="1" t="s">
        <v>471</v>
      </c>
    </row>
    <row r="96" spans="2:54" x14ac:dyDescent="0.2">
      <c r="B96" s="1"/>
    </row>
    <row r="97" spans="2:7" ht="16.5" customHeight="1" x14ac:dyDescent="0.2">
      <c r="B97" s="144" t="s">
        <v>126</v>
      </c>
      <c r="C97" s="148" t="s">
        <v>129</v>
      </c>
      <c r="D97" s="148" t="s">
        <v>130</v>
      </c>
    </row>
    <row r="98" spans="2:7" x14ac:dyDescent="0.2">
      <c r="B98" s="64" t="s">
        <v>108</v>
      </c>
      <c r="C98" s="75">
        <v>0.72</v>
      </c>
      <c r="D98" s="3" t="s">
        <v>128</v>
      </c>
    </row>
    <row r="99" spans="2:7" x14ac:dyDescent="0.2">
      <c r="B99" s="44" t="s">
        <v>109</v>
      </c>
      <c r="C99" s="76">
        <v>0.82</v>
      </c>
      <c r="D99" s="3" t="s">
        <v>128</v>
      </c>
    </row>
    <row r="100" spans="2:7" x14ac:dyDescent="0.2">
      <c r="B100" s="44" t="s">
        <v>127</v>
      </c>
      <c r="C100" s="76">
        <v>0.7</v>
      </c>
      <c r="D100" s="3" t="s">
        <v>131</v>
      </c>
    </row>
    <row r="101" spans="2:7" x14ac:dyDescent="0.2">
      <c r="B101" s="1" t="s">
        <v>325</v>
      </c>
    </row>
    <row r="102" spans="2:7" x14ac:dyDescent="0.2">
      <c r="B102" s="1"/>
    </row>
    <row r="103" spans="2:7" ht="16.5" customHeight="1" x14ac:dyDescent="0.2">
      <c r="B103" s="729" t="s">
        <v>243</v>
      </c>
      <c r="C103" s="730"/>
      <c r="D103" s="730"/>
      <c r="E103" s="730"/>
      <c r="F103"/>
      <c r="G103"/>
    </row>
    <row r="104" spans="2:7" ht="12.75" customHeight="1" x14ac:dyDescent="0.2">
      <c r="B104" s="146" t="s">
        <v>91</v>
      </c>
      <c r="C104" s="140" t="s">
        <v>244</v>
      </c>
      <c r="D104" s="140" t="s">
        <v>245</v>
      </c>
      <c r="E104" s="140" t="s">
        <v>246</v>
      </c>
      <c r="F104" s="99"/>
      <c r="G104" s="99"/>
    </row>
    <row r="105" spans="2:7" x14ac:dyDescent="0.2">
      <c r="B105" s="46" t="s">
        <v>237</v>
      </c>
      <c r="C105" s="100">
        <v>3140</v>
      </c>
      <c r="D105" s="91">
        <v>0.182</v>
      </c>
      <c r="E105" s="91">
        <v>2.4E-2</v>
      </c>
      <c r="F105" s="98"/>
      <c r="G105" s="98"/>
    </row>
    <row r="106" spans="2:7" x14ac:dyDescent="0.2">
      <c r="B106" s="90" t="s">
        <v>238</v>
      </c>
      <c r="C106" s="100">
        <v>3190</v>
      </c>
      <c r="D106" s="91">
        <v>0.17599999999999999</v>
      </c>
      <c r="E106" s="91">
        <v>2.4E-2</v>
      </c>
      <c r="F106" s="98"/>
      <c r="G106" s="98"/>
    </row>
    <row r="107" spans="2:7" x14ac:dyDescent="0.2">
      <c r="B107" s="46" t="s">
        <v>226</v>
      </c>
      <c r="C107" s="100">
        <v>3140</v>
      </c>
      <c r="D107" s="91">
        <v>0.17899999999999999</v>
      </c>
      <c r="E107" s="91">
        <v>2.4E-2</v>
      </c>
      <c r="F107" s="98"/>
      <c r="G107" s="98"/>
    </row>
    <row r="108" spans="2:7" x14ac:dyDescent="0.2">
      <c r="B108" s="103" t="s">
        <v>327</v>
      </c>
      <c r="C108" s="97"/>
      <c r="D108" s="97"/>
      <c r="E108" s="97"/>
      <c r="F108" s="98"/>
      <c r="G108" s="98"/>
    </row>
    <row r="109" spans="2:7" x14ac:dyDescent="0.2">
      <c r="B109" s="96"/>
      <c r="C109" s="97"/>
      <c r="D109" s="97"/>
      <c r="E109" s="97"/>
      <c r="F109" s="98"/>
      <c r="G109" s="98"/>
    </row>
    <row r="110" spans="2:7" ht="17.25" customHeight="1" x14ac:dyDescent="0.2">
      <c r="B110" s="715" t="s">
        <v>250</v>
      </c>
      <c r="C110" s="716"/>
      <c r="D110" s="717"/>
      <c r="E110" s="97"/>
      <c r="F110" s="98"/>
      <c r="G110" s="98"/>
    </row>
    <row r="111" spans="2:7" ht="22.5" x14ac:dyDescent="0.2">
      <c r="B111" s="147" t="s">
        <v>247</v>
      </c>
      <c r="C111" s="140" t="s">
        <v>248</v>
      </c>
      <c r="D111" s="140" t="s">
        <v>249</v>
      </c>
      <c r="E111" s="97"/>
      <c r="F111" s="98"/>
      <c r="G111" s="98"/>
    </row>
    <row r="112" spans="2:7" x14ac:dyDescent="0.2">
      <c r="B112" s="43">
        <v>206</v>
      </c>
      <c r="C112" s="132">
        <v>210</v>
      </c>
      <c r="D112" s="132">
        <v>216</v>
      </c>
      <c r="E112" s="97"/>
      <c r="F112" s="98"/>
      <c r="G112" s="98"/>
    </row>
    <row r="113" spans="2:54" x14ac:dyDescent="0.2">
      <c r="B113" s="103" t="s">
        <v>330</v>
      </c>
      <c r="C113" s="97"/>
      <c r="D113" s="97"/>
      <c r="E113" s="97"/>
      <c r="F113" s="98"/>
      <c r="G113" s="98"/>
    </row>
    <row r="114" spans="2:54" x14ac:dyDescent="0.2">
      <c r="B114" s="96"/>
      <c r="C114" s="97"/>
      <c r="D114" s="97"/>
      <c r="E114" s="97"/>
      <c r="F114" s="98"/>
      <c r="G114" s="98"/>
    </row>
    <row r="115" spans="2:54" ht="16.5" customHeight="1" x14ac:dyDescent="0.2">
      <c r="B115" s="727" t="s">
        <v>251</v>
      </c>
      <c r="C115" s="728"/>
      <c r="D115" s="728"/>
      <c r="E115" s="728"/>
      <c r="F115" s="98"/>
      <c r="G115" s="98"/>
    </row>
    <row r="116" spans="2:54" x14ac:dyDescent="0.2">
      <c r="B116" s="149"/>
      <c r="C116" s="140" t="s">
        <v>244</v>
      </c>
      <c r="D116" s="140" t="s">
        <v>245</v>
      </c>
      <c r="E116" s="140" t="s">
        <v>246</v>
      </c>
      <c r="F116" s="98"/>
      <c r="G116" s="98"/>
    </row>
    <row r="117" spans="2:54" x14ac:dyDescent="0.2">
      <c r="B117" s="46" t="s">
        <v>152</v>
      </c>
      <c r="C117" s="100">
        <v>1</v>
      </c>
      <c r="D117" s="100">
        <v>25</v>
      </c>
      <c r="E117" s="100">
        <v>298</v>
      </c>
      <c r="F117" s="98"/>
      <c r="G117" s="98"/>
    </row>
    <row r="118" spans="2:54" x14ac:dyDescent="0.2">
      <c r="B118" s="103" t="s">
        <v>328</v>
      </c>
      <c r="C118" s="97"/>
      <c r="D118" s="97"/>
      <c r="E118" s="97"/>
      <c r="F118" s="98"/>
      <c r="G118" s="98"/>
    </row>
    <row r="119" spans="2:54" x14ac:dyDescent="0.2">
      <c r="B119" s="103"/>
      <c r="C119" s="97"/>
      <c r="D119" s="97"/>
      <c r="E119" s="97"/>
      <c r="F119" s="98"/>
      <c r="G119" s="98"/>
    </row>
    <row r="120" spans="2:54" ht="16.5" customHeight="1" x14ac:dyDescent="0.2">
      <c r="B120" s="144" t="s">
        <v>153</v>
      </c>
      <c r="C120" s="139">
        <v>2024</v>
      </c>
      <c r="D120" s="139">
        <v>2025</v>
      </c>
      <c r="E120" s="139">
        <v>2026</v>
      </c>
      <c r="F120" s="139">
        <v>2027</v>
      </c>
      <c r="G120" s="139">
        <v>2028</v>
      </c>
      <c r="H120" s="139">
        <v>2029</v>
      </c>
      <c r="I120" s="139">
        <v>2030</v>
      </c>
      <c r="J120" s="139">
        <v>2031</v>
      </c>
      <c r="K120" s="139">
        <v>2032</v>
      </c>
      <c r="L120" s="139">
        <v>2033</v>
      </c>
      <c r="M120" s="139">
        <v>2034</v>
      </c>
      <c r="N120" s="139">
        <v>2035</v>
      </c>
      <c r="O120" s="139">
        <v>2036</v>
      </c>
      <c r="P120" s="139">
        <v>2037</v>
      </c>
      <c r="Q120" s="139">
        <v>2038</v>
      </c>
      <c r="R120" s="139">
        <v>2039</v>
      </c>
      <c r="S120" s="139">
        <v>2040</v>
      </c>
      <c r="T120" s="139">
        <v>2041</v>
      </c>
      <c r="U120" s="139">
        <v>2042</v>
      </c>
      <c r="V120" s="139">
        <v>2043</v>
      </c>
      <c r="W120" s="139">
        <v>2044</v>
      </c>
      <c r="X120" s="139">
        <v>2045</v>
      </c>
      <c r="Y120" s="139">
        <v>2046</v>
      </c>
      <c r="Z120" s="139">
        <v>2047</v>
      </c>
      <c r="AA120" s="139">
        <v>2048</v>
      </c>
      <c r="AB120" s="139">
        <v>2049</v>
      </c>
      <c r="AC120" s="139">
        <v>2050</v>
      </c>
      <c r="AD120" s="139">
        <v>2051</v>
      </c>
      <c r="AE120" s="139">
        <v>2052</v>
      </c>
      <c r="AF120" s="139">
        <v>2053</v>
      </c>
      <c r="AG120" s="139">
        <v>2054</v>
      </c>
      <c r="AH120" s="139">
        <v>2055</v>
      </c>
      <c r="AI120" s="139">
        <v>2056</v>
      </c>
      <c r="AJ120" s="139">
        <v>2057</v>
      </c>
      <c r="AK120" s="139">
        <v>2058</v>
      </c>
      <c r="AL120" s="139">
        <v>2059</v>
      </c>
      <c r="AM120" s="139">
        <v>2060</v>
      </c>
      <c r="AN120" s="139">
        <v>2061</v>
      </c>
      <c r="AO120" s="139">
        <v>2062</v>
      </c>
      <c r="AP120" s="139">
        <v>2063</v>
      </c>
      <c r="AQ120" s="139">
        <v>2064</v>
      </c>
      <c r="AR120" s="139">
        <v>2065</v>
      </c>
      <c r="AS120" s="139">
        <v>2066</v>
      </c>
      <c r="AT120" s="139">
        <v>2067</v>
      </c>
      <c r="AU120" s="139">
        <v>2068</v>
      </c>
      <c r="AV120" s="139">
        <v>2069</v>
      </c>
      <c r="AW120" s="139">
        <v>2070</v>
      </c>
      <c r="AX120" s="139">
        <v>2071</v>
      </c>
      <c r="AY120" s="139">
        <v>2072</v>
      </c>
      <c r="AZ120" s="139">
        <v>2073</v>
      </c>
      <c r="BA120" s="139">
        <v>2074</v>
      </c>
      <c r="BB120" s="139">
        <v>2075</v>
      </c>
    </row>
    <row r="121" spans="2:54" x14ac:dyDescent="0.2">
      <c r="B121" s="46" t="s">
        <v>329</v>
      </c>
      <c r="C121" s="95">
        <v>183.3</v>
      </c>
      <c r="D121" s="150">
        <v>230.8</v>
      </c>
      <c r="E121" s="95">
        <f>ROUND(D121+($I$121-$D$121)/5,1)</f>
        <v>254.6</v>
      </c>
      <c r="F121" s="95">
        <f t="shared" ref="F121:H121" si="10">ROUND(E121+($I$121-$D$121)/5,1)</f>
        <v>278.39999999999998</v>
      </c>
      <c r="G121" s="95">
        <f t="shared" si="10"/>
        <v>302.2</v>
      </c>
      <c r="H121" s="95">
        <f t="shared" si="10"/>
        <v>326</v>
      </c>
      <c r="I121" s="150">
        <v>349.8</v>
      </c>
      <c r="J121" s="95">
        <f>ROUND(I121+($N$121-$I$121)/5,1)</f>
        <v>389</v>
      </c>
      <c r="K121" s="95">
        <f t="shared" ref="K121:M121" si="11">ROUND(J121+($N$121-$I$121)/5,1)</f>
        <v>428.2</v>
      </c>
      <c r="L121" s="95">
        <f t="shared" si="11"/>
        <v>467.4</v>
      </c>
      <c r="M121" s="95">
        <f t="shared" si="11"/>
        <v>506.6</v>
      </c>
      <c r="N121" s="150">
        <v>545.6</v>
      </c>
      <c r="O121" s="95">
        <f>ROUND(N121+($S$121-$N$121)/5,1)</f>
        <v>583.4</v>
      </c>
      <c r="P121" s="95">
        <f t="shared" ref="P121:R121" si="12">ROUND(O121+($S$121-$N$121)/5,1)</f>
        <v>621.20000000000005</v>
      </c>
      <c r="Q121" s="95">
        <f t="shared" si="12"/>
        <v>659</v>
      </c>
      <c r="R121" s="95">
        <f t="shared" si="12"/>
        <v>696.8</v>
      </c>
      <c r="S121" s="150">
        <v>734.5</v>
      </c>
      <c r="T121" s="95">
        <f>ROUND(S121+($X$121-$S$121)/5,1)</f>
        <v>772.3</v>
      </c>
      <c r="U121" s="95">
        <f t="shared" ref="U121:W121" si="13">ROUND(T121+($X$121-$S$121)/5,1)</f>
        <v>810.1</v>
      </c>
      <c r="V121" s="95">
        <f t="shared" si="13"/>
        <v>847.9</v>
      </c>
      <c r="W121" s="95">
        <f t="shared" si="13"/>
        <v>885.7</v>
      </c>
      <c r="X121" s="150">
        <v>923.4</v>
      </c>
      <c r="Y121" s="95">
        <f>ROUND(X121+($AC$121-$X$121)/5,1)</f>
        <v>962.6</v>
      </c>
      <c r="Z121" s="95">
        <f t="shared" ref="Z121:AB121" si="14">ROUND(Y121+($AC$121-$X$121)/5,1)</f>
        <v>1001.8</v>
      </c>
      <c r="AA121" s="95">
        <f t="shared" si="14"/>
        <v>1041</v>
      </c>
      <c r="AB121" s="95">
        <f t="shared" si="14"/>
        <v>1080.2</v>
      </c>
      <c r="AC121" s="150">
        <v>1119.2</v>
      </c>
      <c r="AD121" s="95">
        <f>ROUND(AC121*(1+(0.8*AD23)),1)</f>
        <v>1130.8</v>
      </c>
      <c r="AE121" s="95">
        <f t="shared" ref="AE121:BB121" si="15">ROUND(AD121*(1+(0.8*AE23)),1)</f>
        <v>1141.7</v>
      </c>
      <c r="AF121" s="95">
        <f t="shared" si="15"/>
        <v>1152.7</v>
      </c>
      <c r="AG121" s="95">
        <f t="shared" si="15"/>
        <v>1163.8</v>
      </c>
      <c r="AH121" s="95">
        <f t="shared" si="15"/>
        <v>1175</v>
      </c>
      <c r="AI121" s="95">
        <f t="shared" si="15"/>
        <v>1186.3</v>
      </c>
      <c r="AJ121" s="95">
        <f t="shared" si="15"/>
        <v>1197.7</v>
      </c>
      <c r="AK121" s="95">
        <f t="shared" si="15"/>
        <v>1209.2</v>
      </c>
      <c r="AL121" s="95">
        <f t="shared" si="15"/>
        <v>1220.8</v>
      </c>
      <c r="AM121" s="95">
        <f t="shared" si="15"/>
        <v>1232.5</v>
      </c>
      <c r="AN121" s="95">
        <f t="shared" si="15"/>
        <v>1244.3</v>
      </c>
      <c r="AO121" s="95">
        <f t="shared" si="15"/>
        <v>1257.2</v>
      </c>
      <c r="AP121" s="95">
        <f t="shared" si="15"/>
        <v>1270.3</v>
      </c>
      <c r="AQ121" s="95">
        <f t="shared" si="15"/>
        <v>1283.5</v>
      </c>
      <c r="AR121" s="95">
        <f t="shared" si="15"/>
        <v>1296.8</v>
      </c>
      <c r="AS121" s="95">
        <f t="shared" si="15"/>
        <v>1310.3</v>
      </c>
      <c r="AT121" s="95">
        <f t="shared" si="15"/>
        <v>1323.9</v>
      </c>
      <c r="AU121" s="95">
        <f t="shared" si="15"/>
        <v>1337.7</v>
      </c>
      <c r="AV121" s="95">
        <f t="shared" si="15"/>
        <v>1351.6</v>
      </c>
      <c r="AW121" s="95">
        <f t="shared" si="15"/>
        <v>1365.7</v>
      </c>
      <c r="AX121" s="95">
        <f t="shared" si="15"/>
        <v>1379.9</v>
      </c>
      <c r="AY121" s="95">
        <f t="shared" si="15"/>
        <v>1394.3</v>
      </c>
      <c r="AZ121" s="95">
        <f t="shared" si="15"/>
        <v>1408.8</v>
      </c>
      <c r="BA121" s="95">
        <f t="shared" si="15"/>
        <v>1423.5</v>
      </c>
      <c r="BB121" s="95">
        <f t="shared" si="15"/>
        <v>1438.3</v>
      </c>
    </row>
    <row r="122" spans="2:54" x14ac:dyDescent="0.2">
      <c r="B122" s="1" t="s">
        <v>359</v>
      </c>
      <c r="AQ122" s="68"/>
    </row>
    <row r="123" spans="2:54" x14ac:dyDescent="0.2">
      <c r="AQ123" s="68"/>
    </row>
    <row r="124" spans="2:54" ht="22.5" x14ac:dyDescent="0.2">
      <c r="B124" s="144" t="s">
        <v>154</v>
      </c>
      <c r="C124" s="139">
        <v>2024</v>
      </c>
      <c r="D124" s="139">
        <v>2025</v>
      </c>
      <c r="E124" s="139">
        <v>2026</v>
      </c>
      <c r="F124" s="139">
        <v>2027</v>
      </c>
      <c r="G124" s="139">
        <v>2028</v>
      </c>
      <c r="H124" s="139">
        <v>2029</v>
      </c>
      <c r="I124" s="139">
        <v>2030</v>
      </c>
      <c r="J124" s="139">
        <v>2031</v>
      </c>
      <c r="K124" s="139">
        <v>2032</v>
      </c>
      <c r="L124" s="139">
        <v>2033</v>
      </c>
      <c r="M124" s="139">
        <v>2034</v>
      </c>
      <c r="N124" s="139">
        <v>2035</v>
      </c>
      <c r="O124" s="139">
        <v>2036</v>
      </c>
      <c r="P124" s="139">
        <v>2037</v>
      </c>
      <c r="Q124" s="139">
        <v>2038</v>
      </c>
      <c r="R124" s="139">
        <v>2039</v>
      </c>
      <c r="S124" s="139">
        <v>2040</v>
      </c>
      <c r="T124" s="139">
        <v>2041</v>
      </c>
      <c r="U124" s="139">
        <v>2042</v>
      </c>
      <c r="V124" s="139">
        <v>2043</v>
      </c>
      <c r="W124" s="139">
        <v>2044</v>
      </c>
      <c r="X124" s="139">
        <v>2045</v>
      </c>
      <c r="Y124" s="139">
        <v>2046</v>
      </c>
      <c r="Z124" s="139">
        <v>2047</v>
      </c>
      <c r="AA124" s="139">
        <v>2048</v>
      </c>
      <c r="AB124" s="139">
        <v>2049</v>
      </c>
      <c r="AC124" s="139">
        <v>2050</v>
      </c>
      <c r="AD124" s="139">
        <v>2051</v>
      </c>
      <c r="AE124" s="139">
        <v>2052</v>
      </c>
      <c r="AF124" s="139">
        <v>2053</v>
      </c>
      <c r="AG124" s="139">
        <v>2054</v>
      </c>
      <c r="AH124" s="139">
        <v>2055</v>
      </c>
      <c r="AI124" s="139">
        <v>2056</v>
      </c>
      <c r="AJ124" s="139">
        <v>2057</v>
      </c>
      <c r="AK124" s="139">
        <v>2058</v>
      </c>
      <c r="AL124" s="139">
        <v>2059</v>
      </c>
      <c r="AM124" s="139">
        <v>2060</v>
      </c>
      <c r="AN124" s="139">
        <v>2061</v>
      </c>
      <c r="AO124" s="139">
        <v>2062</v>
      </c>
      <c r="AP124" s="139">
        <v>2063</v>
      </c>
      <c r="AQ124" s="139">
        <v>2064</v>
      </c>
      <c r="AR124" s="139">
        <v>2065</v>
      </c>
      <c r="AS124" s="139">
        <v>2066</v>
      </c>
      <c r="AT124" s="139">
        <v>2067</v>
      </c>
      <c r="AU124" s="139">
        <v>2068</v>
      </c>
      <c r="AV124" s="139">
        <v>2069</v>
      </c>
      <c r="AW124" s="139">
        <v>2070</v>
      </c>
      <c r="AX124" s="139">
        <v>2071</v>
      </c>
      <c r="AY124" s="139">
        <v>2072</v>
      </c>
      <c r="AZ124" s="139">
        <v>2073</v>
      </c>
      <c r="BA124" s="139">
        <v>2074</v>
      </c>
      <c r="BB124" s="139">
        <v>2075</v>
      </c>
    </row>
    <row r="125" spans="2:54" x14ac:dyDescent="0.2">
      <c r="B125" s="45" t="s">
        <v>252</v>
      </c>
      <c r="C125" s="104">
        <f>98.06*0.01</f>
        <v>0.98060000000000003</v>
      </c>
      <c r="D125" s="104">
        <f>ROUND(C125*(1+(0.8*D23)),4)</f>
        <v>1.0018</v>
      </c>
      <c r="E125" s="104">
        <f t="shared" ref="E125:BB125" si="16">ROUND(D125*(1+(0.8*E23)),4)</f>
        <v>1.0242</v>
      </c>
      <c r="F125" s="104">
        <f t="shared" si="16"/>
        <v>1.0414000000000001</v>
      </c>
      <c r="G125" s="104">
        <f t="shared" si="16"/>
        <v>1.0556000000000001</v>
      </c>
      <c r="H125" s="104">
        <f t="shared" si="16"/>
        <v>1.0708</v>
      </c>
      <c r="I125" s="104">
        <f t="shared" si="16"/>
        <v>1.0845</v>
      </c>
      <c r="J125" s="104">
        <f t="shared" si="16"/>
        <v>1.0984</v>
      </c>
      <c r="K125" s="104">
        <f t="shared" si="16"/>
        <v>1.1115999999999999</v>
      </c>
      <c r="L125" s="104">
        <f t="shared" si="16"/>
        <v>1.1249</v>
      </c>
      <c r="M125" s="104">
        <f t="shared" si="16"/>
        <v>1.1384000000000001</v>
      </c>
      <c r="N125" s="104">
        <f t="shared" si="16"/>
        <v>1.1520999999999999</v>
      </c>
      <c r="O125" s="104">
        <f t="shared" si="16"/>
        <v>1.1658999999999999</v>
      </c>
      <c r="P125" s="104">
        <f t="shared" si="16"/>
        <v>1.1798999999999999</v>
      </c>
      <c r="Q125" s="104">
        <f t="shared" si="16"/>
        <v>1.1940999999999999</v>
      </c>
      <c r="R125" s="104">
        <f t="shared" si="16"/>
        <v>1.2083999999999999</v>
      </c>
      <c r="S125" s="104">
        <f t="shared" si="16"/>
        <v>1.2229000000000001</v>
      </c>
      <c r="T125" s="104">
        <f t="shared" si="16"/>
        <v>1.2376</v>
      </c>
      <c r="U125" s="104">
        <f t="shared" si="16"/>
        <v>1.2504999999999999</v>
      </c>
      <c r="V125" s="104">
        <f t="shared" si="16"/>
        <v>1.2635000000000001</v>
      </c>
      <c r="W125" s="104">
        <f t="shared" si="16"/>
        <v>1.2766</v>
      </c>
      <c r="X125" s="104">
        <f t="shared" si="16"/>
        <v>1.2899</v>
      </c>
      <c r="Y125" s="104">
        <f t="shared" si="16"/>
        <v>1.3032999999999999</v>
      </c>
      <c r="Z125" s="104">
        <f t="shared" si="16"/>
        <v>1.3169</v>
      </c>
      <c r="AA125" s="104">
        <f t="shared" si="16"/>
        <v>1.3306</v>
      </c>
      <c r="AB125" s="104">
        <f t="shared" si="16"/>
        <v>1.3444</v>
      </c>
      <c r="AC125" s="104">
        <f t="shared" si="16"/>
        <v>1.3584000000000001</v>
      </c>
      <c r="AD125" s="104">
        <f t="shared" si="16"/>
        <v>1.3725000000000001</v>
      </c>
      <c r="AE125" s="104">
        <f t="shared" si="16"/>
        <v>1.3856999999999999</v>
      </c>
      <c r="AF125" s="104">
        <f t="shared" si="16"/>
        <v>1.399</v>
      </c>
      <c r="AG125" s="104">
        <f t="shared" si="16"/>
        <v>1.4124000000000001</v>
      </c>
      <c r="AH125" s="104">
        <f t="shared" si="16"/>
        <v>1.4259999999999999</v>
      </c>
      <c r="AI125" s="104">
        <f t="shared" si="16"/>
        <v>1.4397</v>
      </c>
      <c r="AJ125" s="104">
        <f t="shared" si="16"/>
        <v>1.4535</v>
      </c>
      <c r="AK125" s="104">
        <f t="shared" si="16"/>
        <v>1.4675</v>
      </c>
      <c r="AL125" s="104">
        <f t="shared" si="16"/>
        <v>1.4816</v>
      </c>
      <c r="AM125" s="104">
        <f t="shared" si="16"/>
        <v>1.4958</v>
      </c>
      <c r="AN125" s="104">
        <f t="shared" si="16"/>
        <v>1.5102</v>
      </c>
      <c r="AO125" s="104">
        <f t="shared" si="16"/>
        <v>1.5259</v>
      </c>
      <c r="AP125" s="104">
        <f t="shared" si="16"/>
        <v>1.5418000000000001</v>
      </c>
      <c r="AQ125" s="104">
        <f t="shared" si="16"/>
        <v>1.5578000000000001</v>
      </c>
      <c r="AR125" s="104">
        <f t="shared" si="16"/>
        <v>1.5740000000000001</v>
      </c>
      <c r="AS125" s="104">
        <f t="shared" si="16"/>
        <v>1.5904</v>
      </c>
      <c r="AT125" s="104">
        <f t="shared" si="16"/>
        <v>1.6069</v>
      </c>
      <c r="AU125" s="104">
        <f t="shared" si="16"/>
        <v>1.6235999999999999</v>
      </c>
      <c r="AV125" s="104">
        <f t="shared" si="16"/>
        <v>1.6405000000000001</v>
      </c>
      <c r="AW125" s="104">
        <f t="shared" si="16"/>
        <v>1.6576</v>
      </c>
      <c r="AX125" s="104">
        <f t="shared" si="16"/>
        <v>1.6748000000000001</v>
      </c>
      <c r="AY125" s="104">
        <f t="shared" si="16"/>
        <v>1.6921999999999999</v>
      </c>
      <c r="AZ125" s="104">
        <f t="shared" si="16"/>
        <v>1.7098</v>
      </c>
      <c r="BA125" s="104">
        <f t="shared" si="16"/>
        <v>1.7276</v>
      </c>
      <c r="BB125" s="104">
        <f t="shared" si="16"/>
        <v>1.7456</v>
      </c>
    </row>
    <row r="126" spans="2:54" x14ac:dyDescent="0.2">
      <c r="B126" s="45" t="s">
        <v>253</v>
      </c>
      <c r="C126" s="104">
        <f>43.25*0.01</f>
        <v>0.4325</v>
      </c>
      <c r="D126" s="104">
        <f>ROUND(C126*(1+(0.8*D23)),4)</f>
        <v>0.44180000000000003</v>
      </c>
      <c r="E126" s="104">
        <f t="shared" ref="E126:BB126" si="17">ROUND(D126*(1+(0.8*E23)),4)</f>
        <v>0.45169999999999999</v>
      </c>
      <c r="F126" s="104">
        <f t="shared" si="17"/>
        <v>0.45929999999999999</v>
      </c>
      <c r="G126" s="104">
        <f t="shared" si="17"/>
        <v>0.46550000000000002</v>
      </c>
      <c r="H126" s="104">
        <f t="shared" si="17"/>
        <v>0.47220000000000001</v>
      </c>
      <c r="I126" s="104">
        <f t="shared" si="17"/>
        <v>0.47820000000000001</v>
      </c>
      <c r="J126" s="104">
        <f t="shared" si="17"/>
        <v>0.48430000000000001</v>
      </c>
      <c r="K126" s="104">
        <f t="shared" si="17"/>
        <v>0.49009999999999998</v>
      </c>
      <c r="L126" s="104">
        <f t="shared" si="17"/>
        <v>0.496</v>
      </c>
      <c r="M126" s="104">
        <f t="shared" si="17"/>
        <v>0.502</v>
      </c>
      <c r="N126" s="104">
        <f t="shared" si="17"/>
        <v>0.50800000000000001</v>
      </c>
      <c r="O126" s="104">
        <f t="shared" si="17"/>
        <v>0.5141</v>
      </c>
      <c r="P126" s="104">
        <f t="shared" si="17"/>
        <v>0.52029999999999998</v>
      </c>
      <c r="Q126" s="104">
        <f t="shared" si="17"/>
        <v>0.52649999999999997</v>
      </c>
      <c r="R126" s="104">
        <f t="shared" si="17"/>
        <v>0.53280000000000005</v>
      </c>
      <c r="S126" s="104">
        <f t="shared" si="17"/>
        <v>0.53920000000000001</v>
      </c>
      <c r="T126" s="104">
        <f t="shared" si="17"/>
        <v>0.54569999999999996</v>
      </c>
      <c r="U126" s="104">
        <f t="shared" si="17"/>
        <v>0.5514</v>
      </c>
      <c r="V126" s="104">
        <f t="shared" si="17"/>
        <v>0.55710000000000004</v>
      </c>
      <c r="W126" s="104">
        <f t="shared" si="17"/>
        <v>0.56289999999999996</v>
      </c>
      <c r="X126" s="104">
        <f t="shared" si="17"/>
        <v>0.56879999999999997</v>
      </c>
      <c r="Y126" s="104">
        <f t="shared" si="17"/>
        <v>0.57469999999999999</v>
      </c>
      <c r="Z126" s="104">
        <f t="shared" si="17"/>
        <v>0.58069999999999999</v>
      </c>
      <c r="AA126" s="104">
        <f t="shared" si="17"/>
        <v>0.5867</v>
      </c>
      <c r="AB126" s="104">
        <f t="shared" si="17"/>
        <v>0.59279999999999999</v>
      </c>
      <c r="AC126" s="104">
        <f t="shared" si="17"/>
        <v>0.59899999999999998</v>
      </c>
      <c r="AD126" s="104">
        <f t="shared" si="17"/>
        <v>0.60519999999999996</v>
      </c>
      <c r="AE126" s="104">
        <f t="shared" si="17"/>
        <v>0.61099999999999999</v>
      </c>
      <c r="AF126" s="104">
        <f t="shared" si="17"/>
        <v>0.6169</v>
      </c>
      <c r="AG126" s="104">
        <f t="shared" si="17"/>
        <v>0.62280000000000002</v>
      </c>
      <c r="AH126" s="104">
        <f t="shared" si="17"/>
        <v>0.62880000000000003</v>
      </c>
      <c r="AI126" s="104">
        <f t="shared" si="17"/>
        <v>0.63480000000000003</v>
      </c>
      <c r="AJ126" s="104">
        <f t="shared" si="17"/>
        <v>0.64090000000000003</v>
      </c>
      <c r="AK126" s="104">
        <f t="shared" si="17"/>
        <v>0.64710000000000001</v>
      </c>
      <c r="AL126" s="104">
        <f t="shared" si="17"/>
        <v>0.65329999999999999</v>
      </c>
      <c r="AM126" s="104">
        <f t="shared" si="17"/>
        <v>0.65959999999999996</v>
      </c>
      <c r="AN126" s="104">
        <f t="shared" si="17"/>
        <v>0.66590000000000005</v>
      </c>
      <c r="AO126" s="104">
        <f t="shared" si="17"/>
        <v>0.67279999999999995</v>
      </c>
      <c r="AP126" s="104">
        <f t="shared" si="17"/>
        <v>0.67979999999999996</v>
      </c>
      <c r="AQ126" s="104">
        <f t="shared" si="17"/>
        <v>0.68689999999999996</v>
      </c>
      <c r="AR126" s="104">
        <f t="shared" si="17"/>
        <v>0.69399999999999995</v>
      </c>
      <c r="AS126" s="104">
        <f t="shared" si="17"/>
        <v>0.70120000000000005</v>
      </c>
      <c r="AT126" s="104">
        <f t="shared" si="17"/>
        <v>0.70850000000000002</v>
      </c>
      <c r="AU126" s="104">
        <f t="shared" si="17"/>
        <v>0.71589999999999998</v>
      </c>
      <c r="AV126" s="104">
        <f t="shared" si="17"/>
        <v>0.72330000000000005</v>
      </c>
      <c r="AW126" s="104">
        <f t="shared" si="17"/>
        <v>0.73080000000000001</v>
      </c>
      <c r="AX126" s="104">
        <f t="shared" si="17"/>
        <v>0.73839999999999995</v>
      </c>
      <c r="AY126" s="104">
        <f t="shared" si="17"/>
        <v>0.74609999999999999</v>
      </c>
      <c r="AZ126" s="104">
        <f t="shared" si="17"/>
        <v>0.75390000000000001</v>
      </c>
      <c r="BA126" s="104">
        <f t="shared" si="17"/>
        <v>0.76170000000000004</v>
      </c>
      <c r="BB126" s="104">
        <f t="shared" si="17"/>
        <v>0.76959999999999995</v>
      </c>
    </row>
    <row r="127" spans="2:54" x14ac:dyDescent="0.2">
      <c r="B127" s="45" t="s">
        <v>254</v>
      </c>
      <c r="C127" s="104">
        <f>6.24*0.01</f>
        <v>6.2400000000000004E-2</v>
      </c>
      <c r="D127" s="104">
        <f>ROUND(C127*(1+(0.8*D23)),4)</f>
        <v>6.3700000000000007E-2</v>
      </c>
      <c r="E127" s="104">
        <f t="shared" ref="E127:BB127" si="18">ROUND(D127*(1+(0.8*E23)),4)</f>
        <v>6.5100000000000005E-2</v>
      </c>
      <c r="F127" s="104">
        <f t="shared" si="18"/>
        <v>6.6199999999999995E-2</v>
      </c>
      <c r="G127" s="104">
        <f t="shared" si="18"/>
        <v>6.7100000000000007E-2</v>
      </c>
      <c r="H127" s="104">
        <f t="shared" si="18"/>
        <v>6.8099999999999994E-2</v>
      </c>
      <c r="I127" s="104">
        <f t="shared" si="18"/>
        <v>6.9000000000000006E-2</v>
      </c>
      <c r="J127" s="104">
        <f t="shared" si="18"/>
        <v>6.9900000000000004E-2</v>
      </c>
      <c r="K127" s="104">
        <f t="shared" si="18"/>
        <v>7.0699999999999999E-2</v>
      </c>
      <c r="L127" s="104">
        <f t="shared" si="18"/>
        <v>7.1499999999999994E-2</v>
      </c>
      <c r="M127" s="104">
        <f t="shared" si="18"/>
        <v>7.2400000000000006E-2</v>
      </c>
      <c r="N127" s="104">
        <f t="shared" si="18"/>
        <v>7.3300000000000004E-2</v>
      </c>
      <c r="O127" s="104">
        <f t="shared" si="18"/>
        <v>7.4200000000000002E-2</v>
      </c>
      <c r="P127" s="104">
        <f t="shared" si="18"/>
        <v>7.51E-2</v>
      </c>
      <c r="Q127" s="104">
        <f t="shared" si="18"/>
        <v>7.5999999999999998E-2</v>
      </c>
      <c r="R127" s="104">
        <f t="shared" si="18"/>
        <v>7.6899999999999996E-2</v>
      </c>
      <c r="S127" s="104">
        <f t="shared" si="18"/>
        <v>7.7799999999999994E-2</v>
      </c>
      <c r="T127" s="104">
        <f t="shared" si="18"/>
        <v>7.8700000000000006E-2</v>
      </c>
      <c r="U127" s="104">
        <f t="shared" si="18"/>
        <v>7.9500000000000001E-2</v>
      </c>
      <c r="V127" s="104">
        <f t="shared" si="18"/>
        <v>8.0299999999999996E-2</v>
      </c>
      <c r="W127" s="104">
        <f t="shared" si="18"/>
        <v>8.1100000000000005E-2</v>
      </c>
      <c r="X127" s="104">
        <f t="shared" si="18"/>
        <v>8.1900000000000001E-2</v>
      </c>
      <c r="Y127" s="104">
        <f t="shared" si="18"/>
        <v>8.2799999999999999E-2</v>
      </c>
      <c r="Z127" s="104">
        <f t="shared" si="18"/>
        <v>8.3699999999999997E-2</v>
      </c>
      <c r="AA127" s="104">
        <f t="shared" si="18"/>
        <v>8.4599999999999995E-2</v>
      </c>
      <c r="AB127" s="104">
        <f t="shared" si="18"/>
        <v>8.5500000000000007E-2</v>
      </c>
      <c r="AC127" s="104">
        <f t="shared" si="18"/>
        <v>8.6400000000000005E-2</v>
      </c>
      <c r="AD127" s="104">
        <f t="shared" si="18"/>
        <v>8.7300000000000003E-2</v>
      </c>
      <c r="AE127" s="104">
        <f t="shared" si="18"/>
        <v>8.8099999999999998E-2</v>
      </c>
      <c r="AF127" s="104">
        <f t="shared" si="18"/>
        <v>8.8900000000000007E-2</v>
      </c>
      <c r="AG127" s="104">
        <f t="shared" si="18"/>
        <v>8.9800000000000005E-2</v>
      </c>
      <c r="AH127" s="104">
        <f t="shared" si="18"/>
        <v>9.0700000000000003E-2</v>
      </c>
      <c r="AI127" s="104">
        <f t="shared" si="18"/>
        <v>9.1600000000000001E-2</v>
      </c>
      <c r="AJ127" s="104">
        <f t="shared" si="18"/>
        <v>9.2499999999999999E-2</v>
      </c>
      <c r="AK127" s="104">
        <f t="shared" si="18"/>
        <v>9.3399999999999997E-2</v>
      </c>
      <c r="AL127" s="104">
        <f t="shared" si="18"/>
        <v>9.4299999999999995E-2</v>
      </c>
      <c r="AM127" s="104">
        <f t="shared" si="18"/>
        <v>9.5200000000000007E-2</v>
      </c>
      <c r="AN127" s="104">
        <f t="shared" si="18"/>
        <v>9.6100000000000005E-2</v>
      </c>
      <c r="AO127" s="104">
        <f t="shared" si="18"/>
        <v>9.7100000000000006E-2</v>
      </c>
      <c r="AP127" s="104">
        <f t="shared" si="18"/>
        <v>9.8100000000000007E-2</v>
      </c>
      <c r="AQ127" s="104">
        <f t="shared" si="18"/>
        <v>9.9099999999999994E-2</v>
      </c>
      <c r="AR127" s="104">
        <f t="shared" si="18"/>
        <v>0.10009999999999999</v>
      </c>
      <c r="AS127" s="104">
        <f t="shared" si="18"/>
        <v>0.1011</v>
      </c>
      <c r="AT127" s="104">
        <f t="shared" si="18"/>
        <v>0.1022</v>
      </c>
      <c r="AU127" s="104">
        <f t="shared" si="18"/>
        <v>0.1033</v>
      </c>
      <c r="AV127" s="104">
        <f t="shared" si="18"/>
        <v>0.10440000000000001</v>
      </c>
      <c r="AW127" s="104">
        <f t="shared" si="18"/>
        <v>0.1055</v>
      </c>
      <c r="AX127" s="104">
        <f t="shared" si="18"/>
        <v>0.1066</v>
      </c>
      <c r="AY127" s="104">
        <f t="shared" si="18"/>
        <v>0.1077</v>
      </c>
      <c r="AZ127" s="104">
        <f t="shared" si="18"/>
        <v>0.10879999999999999</v>
      </c>
      <c r="BA127" s="104">
        <f t="shared" si="18"/>
        <v>0.1099</v>
      </c>
      <c r="BB127" s="104">
        <f t="shared" si="18"/>
        <v>0.111</v>
      </c>
    </row>
    <row r="128" spans="2:54" x14ac:dyDescent="0.2">
      <c r="B128" s="1" t="s">
        <v>472</v>
      </c>
    </row>
    <row r="131" spans="2:8" ht="27.75" x14ac:dyDescent="0.4">
      <c r="B131" s="133" t="s">
        <v>255</v>
      </c>
    </row>
    <row r="134" spans="2:8" x14ac:dyDescent="0.2">
      <c r="B134" s="15" t="s">
        <v>331</v>
      </c>
      <c r="C134" s="15"/>
      <c r="D134" s="15"/>
      <c r="E134" s="15"/>
      <c r="F134" s="15"/>
      <c r="G134" s="15"/>
      <c r="H134" s="15"/>
    </row>
    <row r="135" spans="2:8" ht="17.25" customHeight="1" x14ac:dyDescent="0.2">
      <c r="B135" s="190" t="s">
        <v>88</v>
      </c>
      <c r="C135" s="191" t="s">
        <v>89</v>
      </c>
    </row>
    <row r="136" spans="2:8" x14ac:dyDescent="0.2">
      <c r="B136" s="3" t="s">
        <v>81</v>
      </c>
      <c r="C136" s="192">
        <v>7</v>
      </c>
      <c r="E136" s="2" t="s">
        <v>90</v>
      </c>
    </row>
    <row r="137" spans="2:8" x14ac:dyDescent="0.2">
      <c r="B137" s="3" t="s">
        <v>82</v>
      </c>
      <c r="C137" s="192">
        <v>5.8</v>
      </c>
      <c r="E137" s="2" t="s">
        <v>332</v>
      </c>
    </row>
    <row r="138" spans="2:8" x14ac:dyDescent="0.2">
      <c r="B138" s="3" t="s">
        <v>83</v>
      </c>
      <c r="C138" s="192">
        <v>139.4</v>
      </c>
    </row>
    <row r="139" spans="2:8" x14ac:dyDescent="0.2">
      <c r="B139" s="3" t="s">
        <v>333</v>
      </c>
      <c r="C139" s="192">
        <v>61.1</v>
      </c>
    </row>
    <row r="140" spans="2:8" x14ac:dyDescent="0.2">
      <c r="B140" s="3" t="s">
        <v>84</v>
      </c>
      <c r="C140" s="192">
        <v>6.2</v>
      </c>
    </row>
    <row r="141" spans="2:8" x14ac:dyDescent="0.2">
      <c r="B141" s="3" t="s">
        <v>85</v>
      </c>
      <c r="C141" s="192">
        <v>5.4</v>
      </c>
    </row>
    <row r="142" spans="2:8" x14ac:dyDescent="0.2">
      <c r="B142" s="3" t="s">
        <v>334</v>
      </c>
      <c r="C142" s="192">
        <v>124.8</v>
      </c>
    </row>
    <row r="143" spans="2:8" x14ac:dyDescent="0.2">
      <c r="B143" s="3" t="s">
        <v>335</v>
      </c>
      <c r="C143" s="192">
        <v>46.5</v>
      </c>
    </row>
    <row r="144" spans="2:8" x14ac:dyDescent="0.2">
      <c r="B144" s="3" t="s">
        <v>86</v>
      </c>
      <c r="C144" s="192">
        <v>5.0999999999999996</v>
      </c>
    </row>
    <row r="145" spans="2:123" x14ac:dyDescent="0.2">
      <c r="B145" s="3" t="s">
        <v>87</v>
      </c>
      <c r="C145" s="192">
        <v>3.9</v>
      </c>
    </row>
    <row r="146" spans="2:123" x14ac:dyDescent="0.2">
      <c r="B146" s="3" t="s">
        <v>336</v>
      </c>
      <c r="C146" s="192">
        <v>46.5</v>
      </c>
    </row>
    <row r="147" spans="2:123" x14ac:dyDescent="0.2">
      <c r="B147" s="3" t="s">
        <v>80</v>
      </c>
      <c r="C147" s="192">
        <v>164.3</v>
      </c>
    </row>
    <row r="148" spans="2:123" x14ac:dyDescent="0.2">
      <c r="B148" s="1" t="s">
        <v>473</v>
      </c>
      <c r="C148" s="79"/>
    </row>
    <row r="150" spans="2:123" ht="17.25" customHeight="1" x14ac:dyDescent="0.2">
      <c r="B150" s="721" t="s">
        <v>98</v>
      </c>
      <c r="C150" s="721"/>
    </row>
    <row r="151" spans="2:123" x14ac:dyDescent="0.2">
      <c r="B151" s="3" t="s">
        <v>337</v>
      </c>
      <c r="C151" s="76">
        <v>1.34</v>
      </c>
    </row>
    <row r="152" spans="2:123" x14ac:dyDescent="0.2">
      <c r="B152" s="3" t="s">
        <v>338</v>
      </c>
      <c r="C152" s="76">
        <v>1.51</v>
      </c>
    </row>
    <row r="153" spans="2:123" x14ac:dyDescent="0.2">
      <c r="B153" s="3" t="s">
        <v>99</v>
      </c>
      <c r="C153" s="193">
        <v>22</v>
      </c>
    </row>
    <row r="154" spans="2:123" x14ac:dyDescent="0.2">
      <c r="B154" s="1" t="s">
        <v>71</v>
      </c>
    </row>
    <row r="156" spans="2:123" ht="22.5" x14ac:dyDescent="0.2">
      <c r="B156" s="174" t="s">
        <v>110</v>
      </c>
      <c r="C156" s="175" t="s">
        <v>105</v>
      </c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  <c r="AB156" s="71"/>
      <c r="AC156" s="71"/>
      <c r="AD156" s="71"/>
      <c r="AE156" s="71"/>
      <c r="AF156" s="71"/>
      <c r="AG156" s="71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1"/>
      <c r="AU156" s="71"/>
      <c r="AV156" s="71"/>
      <c r="AW156" s="71"/>
      <c r="AX156" s="71"/>
      <c r="AY156" s="71"/>
      <c r="AZ156" s="71"/>
      <c r="BA156" s="71"/>
      <c r="BB156" s="71"/>
      <c r="BC156" s="71"/>
      <c r="BD156" s="71"/>
      <c r="BE156" s="71"/>
      <c r="BF156" s="71"/>
      <c r="BG156" s="71"/>
      <c r="BH156" s="71"/>
      <c r="BI156" s="71"/>
      <c r="BJ156" s="71"/>
      <c r="BK156" s="71"/>
      <c r="BL156" s="71"/>
      <c r="BM156" s="71"/>
      <c r="BN156" s="71"/>
      <c r="BO156" s="71"/>
      <c r="BP156" s="71"/>
      <c r="BQ156" s="71"/>
      <c r="BR156" s="71"/>
      <c r="BS156" s="71"/>
      <c r="BT156" s="71"/>
      <c r="BU156" s="71"/>
      <c r="BV156" s="71"/>
      <c r="BW156" s="71"/>
      <c r="BX156" s="71"/>
      <c r="BY156" s="71"/>
      <c r="BZ156" s="71"/>
      <c r="CA156" s="71"/>
      <c r="CB156" s="71"/>
      <c r="CC156" s="71"/>
      <c r="CD156" s="71"/>
      <c r="CE156" s="71"/>
      <c r="CF156" s="71"/>
      <c r="CG156" s="71"/>
      <c r="CH156" s="71"/>
      <c r="CI156" s="71"/>
      <c r="CJ156" s="71"/>
      <c r="CK156" s="71"/>
      <c r="CL156" s="71"/>
      <c r="CM156" s="71"/>
      <c r="CN156" s="71"/>
      <c r="CO156" s="71"/>
      <c r="CP156" s="71"/>
      <c r="CQ156" s="71"/>
      <c r="CR156" s="71"/>
      <c r="CS156" s="71"/>
      <c r="CT156" s="71"/>
      <c r="CU156" s="71"/>
      <c r="CV156" s="71"/>
      <c r="CW156" s="71"/>
      <c r="CX156" s="71"/>
      <c r="CY156" s="71"/>
      <c r="CZ156" s="71"/>
      <c r="DA156" s="71"/>
      <c r="DB156" s="71"/>
      <c r="DC156" s="71"/>
      <c r="DD156" s="71"/>
      <c r="DE156" s="71"/>
      <c r="DF156" s="71"/>
      <c r="DG156" s="71"/>
      <c r="DH156" s="71"/>
      <c r="DI156" s="71"/>
      <c r="DJ156" s="71"/>
      <c r="DK156" s="71"/>
      <c r="DL156" s="71"/>
      <c r="DM156" s="71"/>
      <c r="DN156" s="71"/>
      <c r="DO156" s="71"/>
      <c r="DP156" s="71"/>
      <c r="DQ156" s="71"/>
      <c r="DR156" s="71"/>
      <c r="DS156" s="72"/>
    </row>
    <row r="157" spans="2:123" ht="17.25" customHeight="1" x14ac:dyDescent="0.2">
      <c r="B157" s="84" t="s">
        <v>91</v>
      </c>
      <c r="C157" s="194">
        <v>10</v>
      </c>
      <c r="D157" s="194">
        <v>11</v>
      </c>
      <c r="E157" s="194">
        <v>12</v>
      </c>
      <c r="F157" s="194">
        <v>13</v>
      </c>
      <c r="G157" s="194">
        <v>14</v>
      </c>
      <c r="H157" s="194">
        <v>15</v>
      </c>
      <c r="I157" s="194">
        <v>16</v>
      </c>
      <c r="J157" s="194">
        <v>17</v>
      </c>
      <c r="K157" s="194">
        <v>18</v>
      </c>
      <c r="L157" s="194">
        <v>19</v>
      </c>
      <c r="M157" s="194">
        <v>20</v>
      </c>
      <c r="N157" s="194">
        <v>21</v>
      </c>
      <c r="O157" s="194">
        <v>22</v>
      </c>
      <c r="P157" s="194">
        <v>23</v>
      </c>
      <c r="Q157" s="194">
        <v>24</v>
      </c>
      <c r="R157" s="194">
        <v>25</v>
      </c>
      <c r="S157" s="194">
        <v>26</v>
      </c>
      <c r="T157" s="194">
        <v>27</v>
      </c>
      <c r="U157" s="194">
        <v>28</v>
      </c>
      <c r="V157" s="194">
        <v>29</v>
      </c>
      <c r="W157" s="194">
        <v>30</v>
      </c>
      <c r="X157" s="194">
        <v>31</v>
      </c>
      <c r="Y157" s="194">
        <v>32</v>
      </c>
      <c r="Z157" s="194">
        <v>33</v>
      </c>
      <c r="AA157" s="194">
        <v>34</v>
      </c>
      <c r="AB157" s="194">
        <v>35</v>
      </c>
      <c r="AC157" s="194">
        <v>36</v>
      </c>
      <c r="AD157" s="194">
        <v>37</v>
      </c>
      <c r="AE157" s="194">
        <v>38</v>
      </c>
      <c r="AF157" s="194">
        <v>39</v>
      </c>
      <c r="AG157" s="194">
        <v>40</v>
      </c>
      <c r="AH157" s="194">
        <v>41</v>
      </c>
      <c r="AI157" s="194">
        <v>42</v>
      </c>
      <c r="AJ157" s="194">
        <v>43</v>
      </c>
      <c r="AK157" s="194">
        <v>44</v>
      </c>
      <c r="AL157" s="194">
        <v>45</v>
      </c>
      <c r="AM157" s="194">
        <v>46</v>
      </c>
      <c r="AN157" s="194">
        <v>47</v>
      </c>
      <c r="AO157" s="194">
        <v>48</v>
      </c>
      <c r="AP157" s="194">
        <v>49</v>
      </c>
      <c r="AQ157" s="194">
        <v>50</v>
      </c>
      <c r="AR157" s="194">
        <v>51</v>
      </c>
      <c r="AS157" s="194">
        <v>52</v>
      </c>
      <c r="AT157" s="194">
        <v>53</v>
      </c>
      <c r="AU157" s="194">
        <v>54</v>
      </c>
      <c r="AV157" s="194">
        <v>55</v>
      </c>
      <c r="AW157" s="194">
        <v>56</v>
      </c>
      <c r="AX157" s="194">
        <v>57</v>
      </c>
      <c r="AY157" s="194">
        <v>58</v>
      </c>
      <c r="AZ157" s="194">
        <v>59</v>
      </c>
      <c r="BA157" s="194">
        <v>60</v>
      </c>
      <c r="BB157" s="194">
        <v>61</v>
      </c>
      <c r="BC157" s="194">
        <v>62</v>
      </c>
      <c r="BD157" s="194">
        <v>63</v>
      </c>
      <c r="BE157" s="194">
        <v>64</v>
      </c>
      <c r="BF157" s="194">
        <v>65</v>
      </c>
      <c r="BG157" s="194">
        <v>66</v>
      </c>
      <c r="BH157" s="194">
        <v>67</v>
      </c>
      <c r="BI157" s="194">
        <v>68</v>
      </c>
      <c r="BJ157" s="194">
        <v>69</v>
      </c>
      <c r="BK157" s="194">
        <v>70</v>
      </c>
      <c r="BL157" s="194">
        <v>71</v>
      </c>
      <c r="BM157" s="194">
        <v>72</v>
      </c>
      <c r="BN157" s="194">
        <v>73</v>
      </c>
      <c r="BO157" s="194">
        <v>74</v>
      </c>
      <c r="BP157" s="194">
        <v>75</v>
      </c>
      <c r="BQ157" s="194">
        <v>76</v>
      </c>
      <c r="BR157" s="194">
        <v>77</v>
      </c>
      <c r="BS157" s="194">
        <v>78</v>
      </c>
      <c r="BT157" s="194">
        <v>79</v>
      </c>
      <c r="BU157" s="194">
        <v>80</v>
      </c>
      <c r="BV157" s="194">
        <v>81</v>
      </c>
      <c r="BW157" s="194">
        <v>82</v>
      </c>
      <c r="BX157" s="194">
        <v>83</v>
      </c>
      <c r="BY157" s="194">
        <v>84</v>
      </c>
      <c r="BZ157" s="194">
        <v>85</v>
      </c>
      <c r="CA157" s="194">
        <v>86</v>
      </c>
      <c r="CB157" s="194">
        <v>87</v>
      </c>
      <c r="CC157" s="194">
        <v>88</v>
      </c>
      <c r="CD157" s="194">
        <v>89</v>
      </c>
      <c r="CE157" s="194">
        <v>90</v>
      </c>
      <c r="CF157" s="194">
        <v>91</v>
      </c>
      <c r="CG157" s="194">
        <v>92</v>
      </c>
      <c r="CH157" s="194">
        <v>93</v>
      </c>
      <c r="CI157" s="194">
        <v>94</v>
      </c>
      <c r="CJ157" s="194">
        <v>95</v>
      </c>
      <c r="CK157" s="194">
        <v>96</v>
      </c>
      <c r="CL157" s="194">
        <v>97</v>
      </c>
      <c r="CM157" s="194">
        <v>98</v>
      </c>
      <c r="CN157" s="194">
        <v>99</v>
      </c>
      <c r="CO157" s="194">
        <v>100</v>
      </c>
      <c r="CP157" s="194">
        <v>101</v>
      </c>
      <c r="CQ157" s="194">
        <v>102</v>
      </c>
      <c r="CR157" s="194">
        <v>103</v>
      </c>
      <c r="CS157" s="194">
        <v>104</v>
      </c>
      <c r="CT157" s="194">
        <v>105</v>
      </c>
      <c r="CU157" s="194">
        <v>106</v>
      </c>
      <c r="CV157" s="194">
        <v>107</v>
      </c>
      <c r="CW157" s="194">
        <v>108</v>
      </c>
      <c r="CX157" s="194">
        <v>109</v>
      </c>
      <c r="CY157" s="194">
        <v>110</v>
      </c>
      <c r="CZ157" s="194">
        <v>111</v>
      </c>
      <c r="DA157" s="194">
        <v>112</v>
      </c>
      <c r="DB157" s="194">
        <v>113</v>
      </c>
      <c r="DC157" s="194">
        <v>114</v>
      </c>
      <c r="DD157" s="194">
        <v>115</v>
      </c>
      <c r="DE157" s="194">
        <v>116</v>
      </c>
      <c r="DF157" s="194">
        <v>117</v>
      </c>
      <c r="DG157" s="194">
        <v>118</v>
      </c>
      <c r="DH157" s="194">
        <v>119</v>
      </c>
      <c r="DI157" s="194">
        <v>120</v>
      </c>
      <c r="DJ157" s="194">
        <v>121</v>
      </c>
      <c r="DK157" s="194">
        <v>122</v>
      </c>
      <c r="DL157" s="194">
        <v>123</v>
      </c>
      <c r="DM157" s="194">
        <v>124</v>
      </c>
      <c r="DN157" s="194">
        <v>125</v>
      </c>
      <c r="DO157" s="194">
        <v>126</v>
      </c>
      <c r="DP157" s="194">
        <v>127</v>
      </c>
      <c r="DQ157" s="194">
        <v>128</v>
      </c>
      <c r="DR157" s="194">
        <v>129</v>
      </c>
      <c r="DS157" s="194">
        <v>130</v>
      </c>
    </row>
    <row r="158" spans="2:123" x14ac:dyDescent="0.2">
      <c r="B158" s="3" t="s">
        <v>106</v>
      </c>
      <c r="C158" s="73">
        <v>0.128</v>
      </c>
      <c r="D158" s="74">
        <v>0.123</v>
      </c>
      <c r="E158" s="74">
        <v>0.11799999999999999</v>
      </c>
      <c r="F158" s="74">
        <v>0.115</v>
      </c>
      <c r="G158" s="74">
        <v>0.111</v>
      </c>
      <c r="H158" s="74">
        <v>0.108</v>
      </c>
      <c r="I158" s="74">
        <v>0.106</v>
      </c>
      <c r="J158" s="74">
        <v>0.10299999999999999</v>
      </c>
      <c r="K158" s="74">
        <v>0.10100000000000001</v>
      </c>
      <c r="L158" s="74">
        <v>9.9000000000000005E-2</v>
      </c>
      <c r="M158" s="73">
        <v>9.7000000000000003E-2</v>
      </c>
      <c r="N158" s="74">
        <v>9.5000000000000001E-2</v>
      </c>
      <c r="O158" s="74">
        <v>9.2999999999999999E-2</v>
      </c>
      <c r="P158" s="74">
        <v>9.1999999999999998E-2</v>
      </c>
      <c r="Q158" s="74">
        <v>0.09</v>
      </c>
      <c r="R158" s="74">
        <v>8.8999999999999996E-2</v>
      </c>
      <c r="S158" s="74">
        <v>8.6999999999999994E-2</v>
      </c>
      <c r="T158" s="74">
        <v>8.5999999999999993E-2</v>
      </c>
      <c r="U158" s="74">
        <v>8.5000000000000006E-2</v>
      </c>
      <c r="V158" s="74">
        <v>8.4000000000000005E-2</v>
      </c>
      <c r="W158" s="73">
        <v>8.2000000000000003E-2</v>
      </c>
      <c r="X158" s="74">
        <v>8.1000000000000003E-2</v>
      </c>
      <c r="Y158" s="74">
        <v>0.08</v>
      </c>
      <c r="Z158" s="74">
        <v>7.9000000000000001E-2</v>
      </c>
      <c r="AA158" s="74">
        <v>7.8E-2</v>
      </c>
      <c r="AB158" s="74">
        <v>7.6999999999999999E-2</v>
      </c>
      <c r="AC158" s="74">
        <v>7.5999999999999998E-2</v>
      </c>
      <c r="AD158" s="74">
        <v>7.4999999999999997E-2</v>
      </c>
      <c r="AE158" s="74">
        <v>7.4999999999999997E-2</v>
      </c>
      <c r="AF158" s="74">
        <v>7.3999999999999996E-2</v>
      </c>
      <c r="AG158" s="73">
        <v>7.2999999999999995E-2</v>
      </c>
      <c r="AH158" s="74">
        <v>7.1999999999999995E-2</v>
      </c>
      <c r="AI158" s="74">
        <v>7.0999999999999994E-2</v>
      </c>
      <c r="AJ158" s="74">
        <v>7.0999999999999994E-2</v>
      </c>
      <c r="AK158" s="74">
        <v>7.0000000000000007E-2</v>
      </c>
      <c r="AL158" s="74">
        <v>6.9000000000000006E-2</v>
      </c>
      <c r="AM158" s="74">
        <v>6.9000000000000006E-2</v>
      </c>
      <c r="AN158" s="74">
        <v>6.8000000000000005E-2</v>
      </c>
      <c r="AO158" s="74">
        <v>6.7000000000000004E-2</v>
      </c>
      <c r="AP158" s="74">
        <v>6.7000000000000004E-2</v>
      </c>
      <c r="AQ158" s="73">
        <v>6.6000000000000003E-2</v>
      </c>
      <c r="AR158" s="74">
        <v>6.6000000000000003E-2</v>
      </c>
      <c r="AS158" s="74">
        <v>6.5000000000000002E-2</v>
      </c>
      <c r="AT158" s="74">
        <v>6.5000000000000002E-2</v>
      </c>
      <c r="AU158" s="74">
        <v>6.4000000000000001E-2</v>
      </c>
      <c r="AV158" s="74">
        <v>6.4000000000000001E-2</v>
      </c>
      <c r="AW158" s="74">
        <v>6.3E-2</v>
      </c>
      <c r="AX158" s="74">
        <v>6.3E-2</v>
      </c>
      <c r="AY158" s="74">
        <v>6.3E-2</v>
      </c>
      <c r="AZ158" s="74">
        <v>6.2E-2</v>
      </c>
      <c r="BA158" s="73">
        <v>6.2E-2</v>
      </c>
      <c r="BB158" s="74">
        <v>6.2E-2</v>
      </c>
      <c r="BC158" s="74">
        <v>6.0999999999999999E-2</v>
      </c>
      <c r="BD158" s="74">
        <v>6.0999999999999999E-2</v>
      </c>
      <c r="BE158" s="74">
        <v>6.0999999999999999E-2</v>
      </c>
      <c r="BF158" s="74">
        <v>0.06</v>
      </c>
      <c r="BG158" s="74">
        <v>0.06</v>
      </c>
      <c r="BH158" s="74">
        <v>0.06</v>
      </c>
      <c r="BI158" s="74">
        <v>0.06</v>
      </c>
      <c r="BJ158" s="74">
        <v>5.8999999999999997E-2</v>
      </c>
      <c r="BK158" s="73">
        <v>5.8999999999999997E-2</v>
      </c>
      <c r="BL158" s="74">
        <v>5.8999999999999997E-2</v>
      </c>
      <c r="BM158" s="74">
        <v>5.8999999999999997E-2</v>
      </c>
      <c r="BN158" s="74">
        <v>5.8999999999999997E-2</v>
      </c>
      <c r="BO158" s="74">
        <v>5.8999999999999997E-2</v>
      </c>
      <c r="BP158" s="74">
        <v>5.8999999999999997E-2</v>
      </c>
      <c r="BQ158" s="74">
        <v>5.8000000000000003E-2</v>
      </c>
      <c r="BR158" s="74">
        <v>5.8000000000000003E-2</v>
      </c>
      <c r="BS158" s="74">
        <v>5.8000000000000003E-2</v>
      </c>
      <c r="BT158" s="74">
        <v>5.8000000000000003E-2</v>
      </c>
      <c r="BU158" s="73">
        <v>5.8000000000000003E-2</v>
      </c>
      <c r="BV158" s="74">
        <v>5.8000000000000003E-2</v>
      </c>
      <c r="BW158" s="74">
        <v>5.8000000000000003E-2</v>
      </c>
      <c r="BX158" s="74">
        <v>5.8000000000000003E-2</v>
      </c>
      <c r="BY158" s="74">
        <v>5.8000000000000003E-2</v>
      </c>
      <c r="BZ158" s="74">
        <v>5.8000000000000003E-2</v>
      </c>
      <c r="CA158" s="74">
        <v>5.8000000000000003E-2</v>
      </c>
      <c r="CB158" s="74">
        <v>5.8999999999999997E-2</v>
      </c>
      <c r="CC158" s="74">
        <v>5.8999999999999997E-2</v>
      </c>
      <c r="CD158" s="74">
        <v>5.8999999999999997E-2</v>
      </c>
      <c r="CE158" s="73">
        <v>5.8999999999999997E-2</v>
      </c>
      <c r="CF158" s="74">
        <v>5.8999999999999997E-2</v>
      </c>
      <c r="CG158" s="74">
        <v>5.8999999999999997E-2</v>
      </c>
      <c r="CH158" s="74">
        <v>5.8999999999999997E-2</v>
      </c>
      <c r="CI158" s="74">
        <v>0.06</v>
      </c>
      <c r="CJ158" s="74">
        <v>0.06</v>
      </c>
      <c r="CK158" s="74">
        <v>0.06</v>
      </c>
      <c r="CL158" s="74">
        <v>0.06</v>
      </c>
      <c r="CM158" s="74">
        <v>0.06</v>
      </c>
      <c r="CN158" s="74">
        <v>6.0999999999999999E-2</v>
      </c>
      <c r="CO158" s="73">
        <v>6.0999999999999999E-2</v>
      </c>
      <c r="CP158" s="74">
        <v>6.0999999999999999E-2</v>
      </c>
      <c r="CQ158" s="74">
        <v>6.2E-2</v>
      </c>
      <c r="CR158" s="74">
        <v>6.2E-2</v>
      </c>
      <c r="CS158" s="74">
        <v>6.2E-2</v>
      </c>
      <c r="CT158" s="74">
        <v>6.3E-2</v>
      </c>
      <c r="CU158" s="74">
        <v>6.3E-2</v>
      </c>
      <c r="CV158" s="74">
        <v>6.3E-2</v>
      </c>
      <c r="CW158" s="74">
        <v>6.4000000000000001E-2</v>
      </c>
      <c r="CX158" s="74">
        <v>6.4000000000000001E-2</v>
      </c>
      <c r="CY158" s="73">
        <v>6.5000000000000002E-2</v>
      </c>
      <c r="CZ158" s="74">
        <v>6.5000000000000002E-2</v>
      </c>
      <c r="DA158" s="74">
        <v>6.5000000000000002E-2</v>
      </c>
      <c r="DB158" s="74">
        <v>6.6000000000000003E-2</v>
      </c>
      <c r="DC158" s="74">
        <v>6.6000000000000003E-2</v>
      </c>
      <c r="DD158" s="74">
        <v>6.7000000000000004E-2</v>
      </c>
      <c r="DE158" s="74">
        <v>6.7000000000000004E-2</v>
      </c>
      <c r="DF158" s="74">
        <v>6.8000000000000005E-2</v>
      </c>
      <c r="DG158" s="74">
        <v>6.8000000000000005E-2</v>
      </c>
      <c r="DH158" s="74">
        <v>6.9000000000000006E-2</v>
      </c>
      <c r="DI158" s="73">
        <v>7.0000000000000007E-2</v>
      </c>
      <c r="DJ158" s="74">
        <v>7.0000000000000007E-2</v>
      </c>
      <c r="DK158" s="74">
        <v>7.0999999999999994E-2</v>
      </c>
      <c r="DL158" s="74">
        <v>7.0999999999999994E-2</v>
      </c>
      <c r="DM158" s="74">
        <v>7.1999999999999995E-2</v>
      </c>
      <c r="DN158" s="74">
        <v>7.2999999999999995E-2</v>
      </c>
      <c r="DO158" s="74">
        <v>7.2999999999999995E-2</v>
      </c>
      <c r="DP158" s="74">
        <v>7.3999999999999996E-2</v>
      </c>
      <c r="DQ158" s="74">
        <v>7.4999999999999997E-2</v>
      </c>
      <c r="DR158" s="74">
        <v>7.4999999999999997E-2</v>
      </c>
      <c r="DS158" s="73">
        <v>7.5999999999999998E-2</v>
      </c>
    </row>
    <row r="159" spans="2:123" x14ac:dyDescent="0.2">
      <c r="B159" s="3" t="s">
        <v>107</v>
      </c>
      <c r="C159" s="73">
        <v>0.109</v>
      </c>
      <c r="D159" s="74">
        <v>0.104</v>
      </c>
      <c r="E159" s="74">
        <v>0.1</v>
      </c>
      <c r="F159" s="74">
        <v>9.6000000000000002E-2</v>
      </c>
      <c r="G159" s="74">
        <v>9.2999999999999999E-2</v>
      </c>
      <c r="H159" s="74">
        <v>9.0999999999999998E-2</v>
      </c>
      <c r="I159" s="74">
        <v>8.7999999999999995E-2</v>
      </c>
      <c r="J159" s="74">
        <v>8.5999999999999993E-2</v>
      </c>
      <c r="K159" s="74">
        <v>8.4000000000000005E-2</v>
      </c>
      <c r="L159" s="74">
        <v>8.2000000000000003E-2</v>
      </c>
      <c r="M159" s="73">
        <v>0.08</v>
      </c>
      <c r="N159" s="74">
        <v>7.9000000000000001E-2</v>
      </c>
      <c r="O159" s="74">
        <v>7.6999999999999999E-2</v>
      </c>
      <c r="P159" s="74">
        <v>7.5999999999999998E-2</v>
      </c>
      <c r="Q159" s="74">
        <v>7.4999999999999997E-2</v>
      </c>
      <c r="R159" s="74">
        <v>7.3999999999999996E-2</v>
      </c>
      <c r="S159" s="74">
        <v>7.1999999999999995E-2</v>
      </c>
      <c r="T159" s="74">
        <v>7.0999999999999994E-2</v>
      </c>
      <c r="U159" s="74">
        <v>7.0000000000000007E-2</v>
      </c>
      <c r="V159" s="74">
        <v>6.9000000000000006E-2</v>
      </c>
      <c r="W159" s="73">
        <v>6.8000000000000005E-2</v>
      </c>
      <c r="X159" s="74">
        <v>6.8000000000000005E-2</v>
      </c>
      <c r="Y159" s="74">
        <v>6.7000000000000004E-2</v>
      </c>
      <c r="Z159" s="74">
        <v>6.6000000000000003E-2</v>
      </c>
      <c r="AA159" s="74">
        <v>6.5000000000000002E-2</v>
      </c>
      <c r="AB159" s="74">
        <v>6.5000000000000002E-2</v>
      </c>
      <c r="AC159" s="74">
        <v>6.4000000000000001E-2</v>
      </c>
      <c r="AD159" s="74">
        <v>6.3E-2</v>
      </c>
      <c r="AE159" s="74">
        <v>6.3E-2</v>
      </c>
      <c r="AF159" s="74">
        <v>6.2E-2</v>
      </c>
      <c r="AG159" s="73">
        <v>6.2E-2</v>
      </c>
      <c r="AH159" s="74">
        <v>6.0999999999999999E-2</v>
      </c>
      <c r="AI159" s="74">
        <v>0.06</v>
      </c>
      <c r="AJ159" s="74">
        <v>0.06</v>
      </c>
      <c r="AK159" s="74">
        <v>0.06</v>
      </c>
      <c r="AL159" s="74">
        <v>5.8999999999999997E-2</v>
      </c>
      <c r="AM159" s="74">
        <v>5.8999999999999997E-2</v>
      </c>
      <c r="AN159" s="74">
        <v>5.8000000000000003E-2</v>
      </c>
      <c r="AO159" s="74">
        <v>5.8000000000000003E-2</v>
      </c>
      <c r="AP159" s="74">
        <v>5.8000000000000003E-2</v>
      </c>
      <c r="AQ159" s="73">
        <v>5.7000000000000002E-2</v>
      </c>
      <c r="AR159" s="74">
        <v>5.7000000000000002E-2</v>
      </c>
      <c r="AS159" s="74">
        <v>5.7000000000000002E-2</v>
      </c>
      <c r="AT159" s="74">
        <v>5.6000000000000001E-2</v>
      </c>
      <c r="AU159" s="74">
        <v>5.6000000000000001E-2</v>
      </c>
      <c r="AV159" s="74">
        <v>5.6000000000000001E-2</v>
      </c>
      <c r="AW159" s="74">
        <v>5.5E-2</v>
      </c>
      <c r="AX159" s="74">
        <v>5.5E-2</v>
      </c>
      <c r="AY159" s="74">
        <v>5.5E-2</v>
      </c>
      <c r="AZ159" s="74">
        <v>5.5E-2</v>
      </c>
      <c r="BA159" s="73">
        <v>5.5E-2</v>
      </c>
      <c r="BB159" s="74">
        <v>5.3999999999999999E-2</v>
      </c>
      <c r="BC159" s="74">
        <v>5.3999999999999999E-2</v>
      </c>
      <c r="BD159" s="74">
        <v>5.3999999999999999E-2</v>
      </c>
      <c r="BE159" s="74">
        <v>5.3999999999999999E-2</v>
      </c>
      <c r="BF159" s="74">
        <v>5.3999999999999999E-2</v>
      </c>
      <c r="BG159" s="74">
        <v>5.3999999999999999E-2</v>
      </c>
      <c r="BH159" s="74">
        <v>5.3999999999999999E-2</v>
      </c>
      <c r="BI159" s="74">
        <v>5.3999999999999999E-2</v>
      </c>
      <c r="BJ159" s="74">
        <v>5.3999999999999999E-2</v>
      </c>
      <c r="BK159" s="73">
        <v>5.2999999999999999E-2</v>
      </c>
      <c r="BL159" s="74">
        <v>5.2999999999999999E-2</v>
      </c>
      <c r="BM159" s="74">
        <v>5.2999999999999999E-2</v>
      </c>
      <c r="BN159" s="74">
        <v>5.2999999999999999E-2</v>
      </c>
      <c r="BO159" s="74">
        <v>5.2999999999999999E-2</v>
      </c>
      <c r="BP159" s="74">
        <v>5.2999999999999999E-2</v>
      </c>
      <c r="BQ159" s="74">
        <v>5.2999999999999999E-2</v>
      </c>
      <c r="BR159" s="74">
        <v>5.2999999999999999E-2</v>
      </c>
      <c r="BS159" s="74">
        <v>5.3999999999999999E-2</v>
      </c>
      <c r="BT159" s="74">
        <v>5.3999999999999999E-2</v>
      </c>
      <c r="BU159" s="73">
        <v>5.3999999999999999E-2</v>
      </c>
      <c r="BV159" s="74">
        <v>5.3999999999999999E-2</v>
      </c>
      <c r="BW159" s="74">
        <v>5.3999999999999999E-2</v>
      </c>
      <c r="BX159" s="74">
        <v>5.3999999999999999E-2</v>
      </c>
      <c r="BY159" s="74">
        <v>5.3999999999999999E-2</v>
      </c>
      <c r="BZ159" s="74">
        <v>5.3999999999999999E-2</v>
      </c>
      <c r="CA159" s="74">
        <v>5.3999999999999999E-2</v>
      </c>
      <c r="CB159" s="74">
        <v>5.3999999999999999E-2</v>
      </c>
      <c r="CC159" s="74">
        <v>5.5E-2</v>
      </c>
      <c r="CD159" s="74">
        <v>5.5E-2</v>
      </c>
      <c r="CE159" s="73">
        <v>5.5E-2</v>
      </c>
      <c r="CF159" s="74">
        <v>5.5E-2</v>
      </c>
      <c r="CG159" s="74">
        <v>5.5E-2</v>
      </c>
      <c r="CH159" s="74">
        <v>5.6000000000000001E-2</v>
      </c>
      <c r="CI159" s="74">
        <v>5.6000000000000001E-2</v>
      </c>
      <c r="CJ159" s="74">
        <v>5.6000000000000001E-2</v>
      </c>
      <c r="CK159" s="74">
        <v>5.6000000000000001E-2</v>
      </c>
      <c r="CL159" s="74">
        <v>5.7000000000000002E-2</v>
      </c>
      <c r="CM159" s="74">
        <v>5.7000000000000002E-2</v>
      </c>
      <c r="CN159" s="74">
        <v>5.7000000000000002E-2</v>
      </c>
      <c r="CO159" s="73">
        <v>5.7000000000000002E-2</v>
      </c>
      <c r="CP159" s="74">
        <v>5.8000000000000003E-2</v>
      </c>
      <c r="CQ159" s="74">
        <v>5.8000000000000003E-2</v>
      </c>
      <c r="CR159" s="74">
        <v>5.8000000000000003E-2</v>
      </c>
      <c r="CS159" s="74">
        <v>5.8999999999999997E-2</v>
      </c>
      <c r="CT159" s="74">
        <v>5.8999999999999997E-2</v>
      </c>
      <c r="CU159" s="74">
        <v>5.8999999999999997E-2</v>
      </c>
      <c r="CV159" s="74">
        <v>0.06</v>
      </c>
      <c r="CW159" s="74">
        <v>0.06</v>
      </c>
      <c r="CX159" s="74">
        <v>6.0999999999999999E-2</v>
      </c>
      <c r="CY159" s="73">
        <v>6.0999999999999999E-2</v>
      </c>
      <c r="CZ159" s="74">
        <v>6.0999999999999999E-2</v>
      </c>
      <c r="DA159" s="74">
        <v>6.2E-2</v>
      </c>
      <c r="DB159" s="74">
        <v>6.2E-2</v>
      </c>
      <c r="DC159" s="74">
        <v>6.3E-2</v>
      </c>
      <c r="DD159" s="74">
        <v>6.3E-2</v>
      </c>
      <c r="DE159" s="74">
        <v>6.4000000000000001E-2</v>
      </c>
      <c r="DF159" s="74">
        <v>6.4000000000000001E-2</v>
      </c>
      <c r="DG159" s="74">
        <v>6.5000000000000002E-2</v>
      </c>
      <c r="DH159" s="74">
        <v>6.5000000000000002E-2</v>
      </c>
      <c r="DI159" s="73">
        <v>6.6000000000000003E-2</v>
      </c>
      <c r="DJ159" s="74">
        <v>6.6000000000000003E-2</v>
      </c>
      <c r="DK159" s="74">
        <v>6.7000000000000004E-2</v>
      </c>
      <c r="DL159" s="74">
        <v>6.7000000000000004E-2</v>
      </c>
      <c r="DM159" s="74">
        <v>6.8000000000000005E-2</v>
      </c>
      <c r="DN159" s="74">
        <v>6.8000000000000005E-2</v>
      </c>
      <c r="DO159" s="74">
        <v>6.9000000000000006E-2</v>
      </c>
      <c r="DP159" s="74">
        <v>7.0000000000000007E-2</v>
      </c>
      <c r="DQ159" s="74">
        <v>7.0000000000000007E-2</v>
      </c>
      <c r="DR159" s="74">
        <v>7.0999999999999994E-2</v>
      </c>
      <c r="DS159" s="73">
        <v>7.0999999999999994E-2</v>
      </c>
    </row>
    <row r="160" spans="2:123" x14ac:dyDescent="0.2">
      <c r="B160" s="5" t="s">
        <v>340</v>
      </c>
      <c r="C160" s="195">
        <v>10.872999999999999</v>
      </c>
      <c r="D160" s="196">
        <v>10.939</v>
      </c>
      <c r="E160" s="196">
        <v>11.005000000000001</v>
      </c>
      <c r="F160" s="196">
        <v>11.071</v>
      </c>
      <c r="G160" s="196">
        <v>11.137</v>
      </c>
      <c r="H160" s="196">
        <v>11.202999999999999</v>
      </c>
      <c r="I160" s="196">
        <v>11.269</v>
      </c>
      <c r="J160" s="196">
        <v>11.335000000000001</v>
      </c>
      <c r="K160" s="196">
        <v>11.401</v>
      </c>
      <c r="L160" s="196">
        <v>11.467000000000001</v>
      </c>
      <c r="M160" s="195">
        <v>11.532999999999999</v>
      </c>
      <c r="N160" s="196">
        <v>11.605</v>
      </c>
      <c r="O160" s="196">
        <v>11.676</v>
      </c>
      <c r="P160" s="196">
        <v>11.747999999999999</v>
      </c>
      <c r="Q160" s="196">
        <v>11.819000000000001</v>
      </c>
      <c r="R160" s="196">
        <v>11.891</v>
      </c>
      <c r="S160" s="196">
        <v>11.962</v>
      </c>
      <c r="T160" s="196">
        <v>12.034000000000001</v>
      </c>
      <c r="U160" s="196">
        <v>12.105</v>
      </c>
      <c r="V160" s="196">
        <v>12.177</v>
      </c>
      <c r="W160" s="195">
        <v>12.247999999999999</v>
      </c>
      <c r="X160" s="196">
        <v>12.324999999999999</v>
      </c>
      <c r="Y160" s="196">
        <v>12.401999999999999</v>
      </c>
      <c r="Z160" s="196">
        <v>12.478999999999999</v>
      </c>
      <c r="AA160" s="196">
        <v>12.555999999999999</v>
      </c>
      <c r="AB160" s="196">
        <v>12.632999999999999</v>
      </c>
      <c r="AC160" s="196">
        <v>12.71</v>
      </c>
      <c r="AD160" s="196">
        <v>12.787000000000001</v>
      </c>
      <c r="AE160" s="196">
        <v>12.864000000000001</v>
      </c>
      <c r="AF160" s="196">
        <v>12.941000000000001</v>
      </c>
      <c r="AG160" s="195">
        <v>13.018000000000001</v>
      </c>
      <c r="AH160" s="196">
        <v>13.101000000000001</v>
      </c>
      <c r="AI160" s="196">
        <v>13.183</v>
      </c>
      <c r="AJ160" s="196">
        <v>13.266</v>
      </c>
      <c r="AK160" s="196">
        <v>13.349</v>
      </c>
      <c r="AL160" s="196">
        <v>13.430999999999999</v>
      </c>
      <c r="AM160" s="196">
        <v>13.513999999999999</v>
      </c>
      <c r="AN160" s="196">
        <v>13.596</v>
      </c>
      <c r="AO160" s="196">
        <v>13.679</v>
      </c>
      <c r="AP160" s="196">
        <v>13.760999999999999</v>
      </c>
      <c r="AQ160" s="195">
        <v>13.843999999999999</v>
      </c>
      <c r="AR160" s="196">
        <v>13.932</v>
      </c>
      <c r="AS160" s="196">
        <v>14.02</v>
      </c>
      <c r="AT160" s="196">
        <v>14.108000000000001</v>
      </c>
      <c r="AU160" s="196">
        <v>14.196</v>
      </c>
      <c r="AV160" s="196">
        <v>14.284000000000001</v>
      </c>
      <c r="AW160" s="196">
        <v>14.372</v>
      </c>
      <c r="AX160" s="196">
        <v>14.46</v>
      </c>
      <c r="AY160" s="196">
        <v>14.548</v>
      </c>
      <c r="AZ160" s="196">
        <v>14.635999999999999</v>
      </c>
      <c r="BA160" s="195">
        <v>14.724</v>
      </c>
      <c r="BB160" s="196">
        <v>14.817</v>
      </c>
      <c r="BC160" s="196">
        <v>14.911</v>
      </c>
      <c r="BD160" s="196">
        <v>15.004</v>
      </c>
      <c r="BE160" s="196">
        <v>15.098000000000001</v>
      </c>
      <c r="BF160" s="196">
        <v>15.191000000000001</v>
      </c>
      <c r="BG160" s="196">
        <v>15.285</v>
      </c>
      <c r="BH160" s="196">
        <v>15.378</v>
      </c>
      <c r="BI160" s="196">
        <v>15.472</v>
      </c>
      <c r="BJ160" s="196">
        <v>15.565</v>
      </c>
      <c r="BK160" s="195">
        <v>15.659000000000001</v>
      </c>
      <c r="BL160" s="196">
        <v>15.757999999999999</v>
      </c>
      <c r="BM160" s="196">
        <v>15.856999999999999</v>
      </c>
      <c r="BN160" s="196">
        <v>15.956</v>
      </c>
      <c r="BO160" s="196">
        <v>16.055</v>
      </c>
      <c r="BP160" s="196">
        <v>16.154</v>
      </c>
      <c r="BQ160" s="196">
        <v>16.253</v>
      </c>
      <c r="BR160" s="196">
        <v>16.352</v>
      </c>
      <c r="BS160" s="196">
        <v>16.451000000000001</v>
      </c>
      <c r="BT160" s="196">
        <v>16.55</v>
      </c>
      <c r="BU160" s="195">
        <v>16.649000000000001</v>
      </c>
      <c r="BV160" s="196">
        <v>16.759</v>
      </c>
      <c r="BW160" s="196">
        <v>16.869</v>
      </c>
      <c r="BX160" s="196">
        <v>16.978999999999999</v>
      </c>
      <c r="BY160" s="196">
        <v>17.088999999999999</v>
      </c>
      <c r="BZ160" s="196">
        <v>17.199000000000002</v>
      </c>
      <c r="CA160" s="196">
        <v>17.309000000000001</v>
      </c>
      <c r="CB160" s="196">
        <v>17.419</v>
      </c>
      <c r="CC160" s="196">
        <v>17.529</v>
      </c>
      <c r="CD160" s="196">
        <v>17.638999999999999</v>
      </c>
      <c r="CE160" s="195">
        <v>17.748999999999999</v>
      </c>
      <c r="CF160" s="196">
        <v>17.859000000000002</v>
      </c>
      <c r="CG160" s="196">
        <v>17.969000000000001</v>
      </c>
      <c r="CH160" s="196">
        <v>18.079000000000001</v>
      </c>
      <c r="CI160" s="196">
        <v>18.189</v>
      </c>
      <c r="CJ160" s="196">
        <v>18.298999999999999</v>
      </c>
      <c r="CK160" s="196">
        <v>18.408999999999999</v>
      </c>
      <c r="CL160" s="196">
        <v>18.518999999999998</v>
      </c>
      <c r="CM160" s="196">
        <v>18.629000000000001</v>
      </c>
      <c r="CN160" s="196">
        <v>18.739000000000001</v>
      </c>
      <c r="CO160" s="195">
        <v>18.849</v>
      </c>
      <c r="CP160" s="196">
        <v>19.013999999999999</v>
      </c>
      <c r="CQ160" s="196">
        <v>19.178999999999998</v>
      </c>
      <c r="CR160" s="196">
        <v>19.344000000000001</v>
      </c>
      <c r="CS160" s="196">
        <v>19.509</v>
      </c>
      <c r="CT160" s="196">
        <v>19.675000000000001</v>
      </c>
      <c r="CU160" s="196">
        <v>19.84</v>
      </c>
      <c r="CV160" s="196">
        <v>20.004999999999999</v>
      </c>
      <c r="CW160" s="196">
        <v>20.170000000000002</v>
      </c>
      <c r="CX160" s="196">
        <v>20.335000000000001</v>
      </c>
      <c r="CY160" s="195">
        <v>20.5</v>
      </c>
      <c r="CZ160" s="196">
        <v>20.884</v>
      </c>
      <c r="DA160" s="196">
        <v>21.266999999999999</v>
      </c>
      <c r="DB160" s="196">
        <v>21.651</v>
      </c>
      <c r="DC160" s="196">
        <v>22.035</v>
      </c>
      <c r="DD160" s="196">
        <v>22.417999999999999</v>
      </c>
      <c r="DE160" s="196">
        <v>22.802</v>
      </c>
      <c r="DF160" s="196">
        <v>23.186</v>
      </c>
      <c r="DG160" s="196">
        <v>23.57</v>
      </c>
      <c r="DH160" s="196">
        <v>23.952999999999999</v>
      </c>
      <c r="DI160" s="195">
        <v>24.337</v>
      </c>
      <c r="DJ160" s="196">
        <v>24.72</v>
      </c>
      <c r="DK160" s="196">
        <v>25.103000000000002</v>
      </c>
      <c r="DL160" s="196">
        <v>25.486000000000001</v>
      </c>
      <c r="DM160" s="196">
        <v>25.869</v>
      </c>
      <c r="DN160" s="196">
        <v>26.251999999999999</v>
      </c>
      <c r="DO160" s="196">
        <v>26.635000000000002</v>
      </c>
      <c r="DP160" s="196">
        <v>27.018000000000001</v>
      </c>
      <c r="DQ160" s="196">
        <v>27.401</v>
      </c>
      <c r="DR160" s="196">
        <v>27.783999999999999</v>
      </c>
      <c r="DS160" s="195">
        <v>28.167000000000002</v>
      </c>
    </row>
    <row r="161" spans="2:123" x14ac:dyDescent="0.2">
      <c r="B161" s="3" t="s">
        <v>73</v>
      </c>
      <c r="C161" s="73">
        <v>0.60199999999999998</v>
      </c>
      <c r="D161" s="74">
        <v>0.56899999999999995</v>
      </c>
      <c r="E161" s="74">
        <v>0.54100000000000004</v>
      </c>
      <c r="F161" s="74">
        <v>0.51700000000000002</v>
      </c>
      <c r="G161" s="74">
        <v>0.496</v>
      </c>
      <c r="H161" s="74">
        <v>0.47699999999999998</v>
      </c>
      <c r="I161" s="74">
        <v>0.46100000000000002</v>
      </c>
      <c r="J161" s="74">
        <v>0.44600000000000001</v>
      </c>
      <c r="K161" s="74">
        <v>0.432</v>
      </c>
      <c r="L161" s="74">
        <v>0.42</v>
      </c>
      <c r="M161" s="73">
        <v>0.40899999999999997</v>
      </c>
      <c r="N161" s="74">
        <v>0.39900000000000002</v>
      </c>
      <c r="O161" s="74">
        <v>0.38900000000000001</v>
      </c>
      <c r="P161" s="74">
        <v>0.38100000000000001</v>
      </c>
      <c r="Q161" s="74">
        <v>0.372</v>
      </c>
      <c r="R161" s="74">
        <v>0.36499999999999999</v>
      </c>
      <c r="S161" s="74">
        <v>0.35799999999999998</v>
      </c>
      <c r="T161" s="74">
        <v>0.35099999999999998</v>
      </c>
      <c r="U161" s="74">
        <v>0.34499999999999997</v>
      </c>
      <c r="V161" s="74">
        <v>0.33900000000000002</v>
      </c>
      <c r="W161" s="73">
        <v>0.33300000000000002</v>
      </c>
      <c r="X161" s="74">
        <v>0.32800000000000001</v>
      </c>
      <c r="Y161" s="74">
        <v>0.32200000000000001</v>
      </c>
      <c r="Z161" s="74">
        <v>0.318</v>
      </c>
      <c r="AA161" s="74">
        <v>0.313</v>
      </c>
      <c r="AB161" s="74">
        <v>0.309</v>
      </c>
      <c r="AC161" s="74">
        <v>0.30399999999999999</v>
      </c>
      <c r="AD161" s="74">
        <v>0.3</v>
      </c>
      <c r="AE161" s="74">
        <v>0.29699999999999999</v>
      </c>
      <c r="AF161" s="74">
        <v>0.29299999999999998</v>
      </c>
      <c r="AG161" s="73">
        <v>0.28999999999999998</v>
      </c>
      <c r="AH161" s="74">
        <v>0.28599999999999998</v>
      </c>
      <c r="AI161" s="74">
        <v>0.28299999999999997</v>
      </c>
      <c r="AJ161" s="74">
        <v>0.28000000000000003</v>
      </c>
      <c r="AK161" s="74">
        <v>0.27700000000000002</v>
      </c>
      <c r="AL161" s="74">
        <v>0.27400000000000002</v>
      </c>
      <c r="AM161" s="74">
        <v>0.27200000000000002</v>
      </c>
      <c r="AN161" s="74">
        <v>0.26900000000000002</v>
      </c>
      <c r="AO161" s="74">
        <v>0.26700000000000002</v>
      </c>
      <c r="AP161" s="74">
        <v>0.26400000000000001</v>
      </c>
      <c r="AQ161" s="73">
        <v>0.26200000000000001</v>
      </c>
      <c r="AR161" s="74">
        <v>0.26</v>
      </c>
      <c r="AS161" s="74">
        <v>0.25800000000000001</v>
      </c>
      <c r="AT161" s="74">
        <v>0.25600000000000001</v>
      </c>
      <c r="AU161" s="74">
        <v>0.254</v>
      </c>
      <c r="AV161" s="74">
        <v>0.253</v>
      </c>
      <c r="AW161" s="74">
        <v>0.251</v>
      </c>
      <c r="AX161" s="74">
        <v>0.249</v>
      </c>
      <c r="AY161" s="74">
        <v>0.248</v>
      </c>
      <c r="AZ161" s="74">
        <v>0.247</v>
      </c>
      <c r="BA161" s="73">
        <v>0.245</v>
      </c>
      <c r="BB161" s="74">
        <v>0.24399999999999999</v>
      </c>
      <c r="BC161" s="74">
        <v>0.24299999999999999</v>
      </c>
      <c r="BD161" s="74">
        <v>0.24199999999999999</v>
      </c>
      <c r="BE161" s="74">
        <v>0.24099999999999999</v>
      </c>
      <c r="BF161" s="74">
        <v>0.24</v>
      </c>
      <c r="BG161" s="74">
        <v>0.23899999999999999</v>
      </c>
      <c r="BH161" s="74">
        <v>0.23799999999999999</v>
      </c>
      <c r="BI161" s="74">
        <v>0.23799999999999999</v>
      </c>
      <c r="BJ161" s="74">
        <v>0.23699999999999999</v>
      </c>
      <c r="BK161" s="73">
        <v>0.23599999999999999</v>
      </c>
      <c r="BL161" s="74">
        <v>0.23599999999999999</v>
      </c>
      <c r="BM161" s="74">
        <v>0.23499999999999999</v>
      </c>
      <c r="BN161" s="74">
        <v>0.23499999999999999</v>
      </c>
      <c r="BO161" s="74">
        <v>0.23499999999999999</v>
      </c>
      <c r="BP161" s="74">
        <v>0.23400000000000001</v>
      </c>
      <c r="BQ161" s="74">
        <v>0.23400000000000001</v>
      </c>
      <c r="BR161" s="74">
        <v>0.23400000000000001</v>
      </c>
      <c r="BS161" s="74">
        <v>0.23400000000000001</v>
      </c>
      <c r="BT161" s="74">
        <v>0.23400000000000001</v>
      </c>
      <c r="BU161" s="73">
        <v>0.23400000000000001</v>
      </c>
      <c r="BV161" s="74">
        <v>0.23400000000000001</v>
      </c>
      <c r="BW161" s="74">
        <v>0.23499999999999999</v>
      </c>
      <c r="BX161" s="74">
        <v>0.23499999999999999</v>
      </c>
      <c r="BY161" s="74">
        <v>0.23499999999999999</v>
      </c>
      <c r="BZ161" s="74">
        <v>0.23499999999999999</v>
      </c>
      <c r="CA161" s="74">
        <v>0.23599999999999999</v>
      </c>
      <c r="CB161" s="74">
        <v>0.23599999999999999</v>
      </c>
      <c r="CC161" s="74">
        <v>0.23699999999999999</v>
      </c>
      <c r="CD161" s="74">
        <v>0.23799999999999999</v>
      </c>
      <c r="CE161" s="73">
        <v>0.23799999999999999</v>
      </c>
      <c r="CF161" s="74">
        <v>0.23899999999999999</v>
      </c>
      <c r="CG161" s="74">
        <v>0.24</v>
      </c>
      <c r="CH161" s="74">
        <v>0.24099999999999999</v>
      </c>
      <c r="CI161" s="74">
        <v>0.24099999999999999</v>
      </c>
      <c r="CJ161" s="74">
        <v>0.24199999999999999</v>
      </c>
      <c r="CK161" s="74">
        <v>0.24299999999999999</v>
      </c>
      <c r="CL161" s="74">
        <v>0.24399999999999999</v>
      </c>
      <c r="CM161" s="74">
        <v>0.246</v>
      </c>
      <c r="CN161" s="74">
        <v>0.247</v>
      </c>
      <c r="CO161" s="73">
        <v>0.248</v>
      </c>
      <c r="CP161" s="74"/>
      <c r="CQ161" s="74"/>
      <c r="CR161" s="74"/>
      <c r="CS161" s="74"/>
      <c r="CT161" s="74"/>
      <c r="CU161" s="74"/>
      <c r="CV161" s="74"/>
      <c r="CW161" s="74"/>
      <c r="CX161" s="74"/>
      <c r="CY161" s="73"/>
      <c r="CZ161" s="74"/>
      <c r="DA161" s="74"/>
      <c r="DB161" s="74"/>
      <c r="DC161" s="74"/>
      <c r="DD161" s="74"/>
      <c r="DE161" s="74"/>
      <c r="DF161" s="74"/>
      <c r="DG161" s="74"/>
      <c r="DH161" s="74"/>
      <c r="DI161" s="73"/>
      <c r="DJ161" s="74"/>
      <c r="DK161" s="74"/>
      <c r="DL161" s="74"/>
      <c r="DM161" s="74"/>
      <c r="DN161" s="74"/>
      <c r="DO161" s="74"/>
      <c r="DP161" s="74"/>
      <c r="DQ161" s="74"/>
      <c r="DR161" s="74"/>
      <c r="DS161" s="73"/>
    </row>
    <row r="162" spans="2:123" x14ac:dyDescent="0.2">
      <c r="B162" s="1" t="s">
        <v>474</v>
      </c>
    </row>
    <row r="163" spans="2:123" x14ac:dyDescent="0.2">
      <c r="B163" s="1"/>
    </row>
    <row r="164" spans="2:123" ht="17.25" customHeight="1" x14ac:dyDescent="0.2">
      <c r="B164" s="174" t="s">
        <v>341</v>
      </c>
      <c r="C164" s="197">
        <v>2024</v>
      </c>
      <c r="D164" s="197">
        <v>2025</v>
      </c>
      <c r="E164" s="197">
        <v>2026</v>
      </c>
      <c r="F164" s="197">
        <v>2027</v>
      </c>
      <c r="G164" s="197">
        <v>2028</v>
      </c>
      <c r="H164" s="197">
        <v>2029</v>
      </c>
      <c r="I164" s="197">
        <v>2030</v>
      </c>
      <c r="J164" s="197">
        <v>2031</v>
      </c>
      <c r="K164" s="197">
        <v>2032</v>
      </c>
      <c r="L164" s="197">
        <v>2033</v>
      </c>
      <c r="M164" s="197">
        <v>2034</v>
      </c>
      <c r="N164" s="197">
        <v>2035</v>
      </c>
      <c r="O164" s="197">
        <v>2036</v>
      </c>
      <c r="P164" s="197">
        <v>2037</v>
      </c>
      <c r="Q164" s="197">
        <v>2038</v>
      </c>
      <c r="R164" s="197">
        <v>2039</v>
      </c>
      <c r="S164" s="197">
        <v>2040</v>
      </c>
      <c r="T164" s="197">
        <v>2041</v>
      </c>
      <c r="U164" s="197">
        <v>2042</v>
      </c>
      <c r="V164" s="197">
        <v>2043</v>
      </c>
      <c r="W164" s="197">
        <v>2044</v>
      </c>
      <c r="X164" s="197">
        <v>2045</v>
      </c>
      <c r="Y164" s="197">
        <v>2046</v>
      </c>
      <c r="Z164" s="197">
        <v>2047</v>
      </c>
      <c r="AA164" s="197">
        <v>2048</v>
      </c>
      <c r="AB164" s="197">
        <v>2049</v>
      </c>
      <c r="AC164" s="197">
        <v>2050</v>
      </c>
      <c r="AD164" s="197">
        <v>2051</v>
      </c>
      <c r="AE164" s="197">
        <v>2052</v>
      </c>
      <c r="AF164" s="197">
        <v>2053</v>
      </c>
      <c r="AG164" s="197">
        <v>2054</v>
      </c>
      <c r="AH164" s="197">
        <v>2055</v>
      </c>
      <c r="AI164" s="197">
        <v>2056</v>
      </c>
      <c r="AJ164" s="197">
        <v>2057</v>
      </c>
      <c r="AK164" s="197">
        <v>2058</v>
      </c>
      <c r="AL164" s="197">
        <v>2059</v>
      </c>
      <c r="AM164" s="197">
        <v>2060</v>
      </c>
      <c r="AN164" s="197">
        <v>2061</v>
      </c>
      <c r="AO164" s="197">
        <v>2062</v>
      </c>
      <c r="AP164" s="197">
        <v>2063</v>
      </c>
      <c r="AQ164" s="197">
        <v>2064</v>
      </c>
      <c r="AR164" s="197">
        <v>2065</v>
      </c>
      <c r="AS164" s="197">
        <v>2066</v>
      </c>
      <c r="AT164" s="197">
        <v>2067</v>
      </c>
      <c r="AU164" s="197">
        <v>2068</v>
      </c>
      <c r="AV164" s="197">
        <v>2069</v>
      </c>
      <c r="AW164" s="197">
        <v>2070</v>
      </c>
      <c r="AX164" s="197">
        <v>2071</v>
      </c>
      <c r="AY164" s="197">
        <v>2072</v>
      </c>
      <c r="AZ164" s="197">
        <v>2073</v>
      </c>
      <c r="BA164" s="197">
        <v>2074</v>
      </c>
      <c r="BB164" s="197">
        <v>2075</v>
      </c>
    </row>
    <row r="165" spans="2:123" x14ac:dyDescent="0.2">
      <c r="B165" s="64" t="s">
        <v>108</v>
      </c>
      <c r="C165" s="198">
        <v>0.54527000000000003</v>
      </c>
      <c r="D165" s="198">
        <v>0.54268500000000008</v>
      </c>
      <c r="E165" s="198">
        <v>0.53663500000000008</v>
      </c>
      <c r="F165" s="198">
        <v>0.53080499999999997</v>
      </c>
      <c r="G165" s="198">
        <v>0.52508500000000002</v>
      </c>
      <c r="H165" s="198">
        <v>0.51958500000000007</v>
      </c>
      <c r="I165" s="198">
        <v>0.5142500000000001</v>
      </c>
      <c r="J165" s="198">
        <v>0.50600000000000012</v>
      </c>
      <c r="K165" s="198">
        <v>0.49532999999999999</v>
      </c>
      <c r="L165" s="198">
        <v>0.48224000000000006</v>
      </c>
      <c r="M165" s="198">
        <v>0.46744500000000005</v>
      </c>
      <c r="N165" s="198">
        <v>0.44824999999999998</v>
      </c>
      <c r="O165" s="198">
        <v>0.43296000000000007</v>
      </c>
      <c r="P165" s="198">
        <v>0.41761500000000001</v>
      </c>
      <c r="Q165" s="198">
        <v>0.40232500000000004</v>
      </c>
      <c r="R165" s="198">
        <v>0.38698000000000005</v>
      </c>
      <c r="S165" s="198">
        <v>0.37169000000000002</v>
      </c>
      <c r="T165" s="198">
        <v>0.35634499999999997</v>
      </c>
      <c r="U165" s="198">
        <v>0.341055</v>
      </c>
      <c r="V165" s="198">
        <v>0.32571000000000006</v>
      </c>
      <c r="W165" s="198">
        <v>0.31042000000000003</v>
      </c>
      <c r="X165" s="198">
        <v>0.29507500000000003</v>
      </c>
      <c r="Y165" s="198">
        <v>0.27978500000000001</v>
      </c>
      <c r="Z165" s="198">
        <v>0.26444000000000001</v>
      </c>
      <c r="AA165" s="198">
        <v>0.24915000000000001</v>
      </c>
      <c r="AB165" s="198">
        <v>0.23380500000000004</v>
      </c>
      <c r="AC165" s="198">
        <v>0.21851500000000001</v>
      </c>
      <c r="AD165" s="198">
        <v>0.20322500000000004</v>
      </c>
      <c r="AE165" s="198">
        <v>0.18788000000000002</v>
      </c>
      <c r="AF165" s="198">
        <v>0.17258999999999999</v>
      </c>
      <c r="AG165" s="198">
        <v>0.15724500000000002</v>
      </c>
      <c r="AH165" s="198">
        <v>0.141955</v>
      </c>
      <c r="AI165" s="198">
        <v>0.12661</v>
      </c>
      <c r="AJ165" s="198">
        <v>0.11132000000000002</v>
      </c>
      <c r="AK165" s="198">
        <v>9.5975000000000005E-2</v>
      </c>
      <c r="AL165" s="198">
        <v>8.0685000000000034E-2</v>
      </c>
      <c r="AM165" s="198">
        <v>6.5340000000000009E-2</v>
      </c>
      <c r="AN165" s="198">
        <v>5.004999999999999E-2</v>
      </c>
      <c r="AO165" s="198">
        <v>3.4705000000000027E-2</v>
      </c>
      <c r="AP165" s="198">
        <v>1.9415000000000002E-2</v>
      </c>
      <c r="AQ165" s="198">
        <v>4.0699999999999799E-3</v>
      </c>
      <c r="AR165" s="198">
        <v>0</v>
      </c>
      <c r="AS165" s="198">
        <v>0</v>
      </c>
      <c r="AT165" s="198">
        <v>0</v>
      </c>
      <c r="AU165" s="198">
        <v>0</v>
      </c>
      <c r="AV165" s="198">
        <v>0</v>
      </c>
      <c r="AW165" s="198">
        <v>0</v>
      </c>
      <c r="AX165" s="198">
        <v>0</v>
      </c>
      <c r="AY165" s="198">
        <v>0</v>
      </c>
      <c r="AZ165" s="198">
        <v>0</v>
      </c>
      <c r="BA165" s="198">
        <v>0</v>
      </c>
      <c r="BB165" s="198">
        <v>0</v>
      </c>
    </row>
    <row r="166" spans="2:123" x14ac:dyDescent="0.2">
      <c r="B166" s="44" t="s">
        <v>109</v>
      </c>
      <c r="C166" s="199">
        <v>0.44612999999999997</v>
      </c>
      <c r="D166" s="199">
        <v>0.44401499999999999</v>
      </c>
      <c r="E166" s="199">
        <v>0.43906500000000004</v>
      </c>
      <c r="F166" s="199">
        <v>0.43429499999999999</v>
      </c>
      <c r="G166" s="199">
        <v>0.42961500000000002</v>
      </c>
      <c r="H166" s="199">
        <v>0.42511500000000002</v>
      </c>
      <c r="I166" s="199">
        <v>0.42075000000000001</v>
      </c>
      <c r="J166" s="199">
        <v>0.41400000000000003</v>
      </c>
      <c r="K166" s="199">
        <v>0.40526999999999996</v>
      </c>
      <c r="L166" s="199">
        <v>0.39456000000000002</v>
      </c>
      <c r="M166" s="199">
        <v>0.38245499999999999</v>
      </c>
      <c r="N166" s="199">
        <v>0.36674999999999996</v>
      </c>
      <c r="O166" s="199">
        <v>0.35424</v>
      </c>
      <c r="P166" s="199">
        <v>0.34168500000000002</v>
      </c>
      <c r="Q166" s="199">
        <v>0.32917500000000005</v>
      </c>
      <c r="R166" s="199">
        <v>0.31662000000000001</v>
      </c>
      <c r="S166" s="199">
        <v>0.30410999999999999</v>
      </c>
      <c r="T166" s="199">
        <v>0.29155499999999995</v>
      </c>
      <c r="U166" s="199">
        <v>0.27904499999999999</v>
      </c>
      <c r="V166" s="199">
        <v>0.26649000000000006</v>
      </c>
      <c r="W166" s="199">
        <v>0.25398000000000004</v>
      </c>
      <c r="X166" s="199">
        <v>0.241425</v>
      </c>
      <c r="Y166" s="199">
        <v>0.22891499999999998</v>
      </c>
      <c r="Z166" s="199">
        <v>0.21636</v>
      </c>
      <c r="AA166" s="199">
        <v>0.20384999999999998</v>
      </c>
      <c r="AB166" s="199">
        <v>0.19129500000000002</v>
      </c>
      <c r="AC166" s="199">
        <v>0.178785</v>
      </c>
      <c r="AD166" s="199">
        <v>0.16627500000000003</v>
      </c>
      <c r="AE166" s="199">
        <v>0.15372000000000002</v>
      </c>
      <c r="AF166" s="199">
        <v>0.14121</v>
      </c>
      <c r="AG166" s="199">
        <v>0.12865500000000002</v>
      </c>
      <c r="AH166" s="199">
        <v>0.116145</v>
      </c>
      <c r="AI166" s="199">
        <v>0.10358999999999999</v>
      </c>
      <c r="AJ166" s="199">
        <v>9.1080000000000008E-2</v>
      </c>
      <c r="AK166" s="199">
        <v>7.8524999999999998E-2</v>
      </c>
      <c r="AL166" s="199">
        <v>6.6015000000000032E-2</v>
      </c>
      <c r="AM166" s="199">
        <v>5.3460000000000008E-2</v>
      </c>
      <c r="AN166" s="199">
        <v>4.0949999999999986E-2</v>
      </c>
      <c r="AO166" s="199">
        <v>2.8395000000000021E-2</v>
      </c>
      <c r="AP166" s="199">
        <v>1.5885E-2</v>
      </c>
      <c r="AQ166" s="199">
        <v>3.3299999999999831E-3</v>
      </c>
      <c r="AR166" s="199">
        <v>0</v>
      </c>
      <c r="AS166" s="199">
        <v>0</v>
      </c>
      <c r="AT166" s="199">
        <v>0</v>
      </c>
      <c r="AU166" s="199">
        <v>0</v>
      </c>
      <c r="AV166" s="199">
        <v>0</v>
      </c>
      <c r="AW166" s="199">
        <v>0</v>
      </c>
      <c r="AX166" s="199">
        <v>0</v>
      </c>
      <c r="AY166" s="199">
        <v>0</v>
      </c>
      <c r="AZ166" s="199">
        <v>0</v>
      </c>
      <c r="BA166" s="199">
        <v>0</v>
      </c>
      <c r="BB166" s="199">
        <v>0</v>
      </c>
    </row>
    <row r="167" spans="2:123" x14ac:dyDescent="0.2">
      <c r="B167" s="44" t="s">
        <v>301</v>
      </c>
      <c r="C167" s="199">
        <v>8.6E-3</v>
      </c>
      <c r="D167" s="199">
        <v>1.3299999999999999E-2</v>
      </c>
      <c r="E167" s="199">
        <v>2.4299999999999999E-2</v>
      </c>
      <c r="F167" s="199">
        <v>3.49E-2</v>
      </c>
      <c r="G167" s="199">
        <v>4.53E-2</v>
      </c>
      <c r="H167" s="199">
        <v>5.5300000000000002E-2</v>
      </c>
      <c r="I167" s="199">
        <v>6.5000000000000002E-2</v>
      </c>
      <c r="J167" s="199">
        <v>0.08</v>
      </c>
      <c r="K167" s="199">
        <v>9.9400000000000002E-2</v>
      </c>
      <c r="L167" s="199">
        <v>0.1232</v>
      </c>
      <c r="M167" s="199">
        <v>0.15010000000000001</v>
      </c>
      <c r="N167" s="199">
        <v>0.185</v>
      </c>
      <c r="O167" s="199">
        <v>0.21279999999999999</v>
      </c>
      <c r="P167" s="199">
        <v>0.2407</v>
      </c>
      <c r="Q167" s="199">
        <v>0.26850000000000002</v>
      </c>
      <c r="R167" s="199">
        <v>0.2964</v>
      </c>
      <c r="S167" s="199">
        <v>0.32419999999999999</v>
      </c>
      <c r="T167" s="199">
        <v>0.35210000000000002</v>
      </c>
      <c r="U167" s="199">
        <v>0.37990000000000002</v>
      </c>
      <c r="V167" s="199">
        <v>0.4078</v>
      </c>
      <c r="W167" s="199">
        <v>0.43559999999999999</v>
      </c>
      <c r="X167" s="199">
        <v>0.46350000000000002</v>
      </c>
      <c r="Y167" s="199">
        <v>0.49130000000000001</v>
      </c>
      <c r="Z167" s="199">
        <v>0.51919999999999999</v>
      </c>
      <c r="AA167" s="199">
        <v>0.54700000000000004</v>
      </c>
      <c r="AB167" s="199">
        <v>0.57489999999999997</v>
      </c>
      <c r="AC167" s="199">
        <v>0.60270000000000001</v>
      </c>
      <c r="AD167" s="199">
        <v>0.63049999999999995</v>
      </c>
      <c r="AE167" s="199">
        <v>0.65839999999999999</v>
      </c>
      <c r="AF167" s="199">
        <v>0.68620000000000003</v>
      </c>
      <c r="AG167" s="199">
        <v>0.71409999999999996</v>
      </c>
      <c r="AH167" s="199">
        <v>0.7419</v>
      </c>
      <c r="AI167" s="199">
        <v>0.76980000000000004</v>
      </c>
      <c r="AJ167" s="199">
        <v>0.79759999999999998</v>
      </c>
      <c r="AK167" s="199">
        <v>0.82550000000000001</v>
      </c>
      <c r="AL167" s="199">
        <v>0.85329999999999995</v>
      </c>
      <c r="AM167" s="199">
        <v>0.88119999999999998</v>
      </c>
      <c r="AN167" s="199">
        <v>0.90900000000000003</v>
      </c>
      <c r="AO167" s="199">
        <v>0.93689999999999996</v>
      </c>
      <c r="AP167" s="199">
        <v>0.9647</v>
      </c>
      <c r="AQ167" s="199">
        <v>0.99260000000000004</v>
      </c>
      <c r="AR167" s="199">
        <v>1</v>
      </c>
      <c r="AS167" s="199">
        <v>1</v>
      </c>
      <c r="AT167" s="199">
        <v>1</v>
      </c>
      <c r="AU167" s="199">
        <v>1</v>
      </c>
      <c r="AV167" s="199">
        <v>1</v>
      </c>
      <c r="AW167" s="199">
        <v>1</v>
      </c>
      <c r="AX167" s="199">
        <v>1</v>
      </c>
      <c r="AY167" s="199">
        <v>1</v>
      </c>
      <c r="AZ167" s="199">
        <v>1</v>
      </c>
      <c r="BA167" s="199">
        <v>1</v>
      </c>
      <c r="BB167" s="199">
        <v>1</v>
      </c>
    </row>
    <row r="168" spans="2:123" x14ac:dyDescent="0.2">
      <c r="B168" s="1" t="s">
        <v>235</v>
      </c>
      <c r="C168" s="200"/>
      <c r="D168" s="200"/>
      <c r="E168" s="200"/>
      <c r="F168" s="200"/>
      <c r="G168" s="200"/>
      <c r="H168" s="200"/>
      <c r="I168" s="200"/>
      <c r="J168" s="200"/>
      <c r="K168" s="200"/>
      <c r="L168" s="200"/>
      <c r="M168" s="200"/>
      <c r="N168" s="200"/>
      <c r="O168" s="200"/>
      <c r="P168" s="200"/>
      <c r="Q168" s="200"/>
      <c r="R168" s="200"/>
      <c r="S168" s="200"/>
      <c r="T168" s="200"/>
      <c r="U168" s="200"/>
      <c r="V168" s="200"/>
      <c r="W168" s="200"/>
      <c r="X168" s="200"/>
      <c r="Y168" s="200"/>
      <c r="Z168" s="200"/>
      <c r="AA168" s="200"/>
      <c r="AB168" s="200"/>
      <c r="AC168" s="200"/>
      <c r="AD168" s="200"/>
      <c r="AE168" s="200"/>
      <c r="AF168" s="200"/>
      <c r="AG168" s="200"/>
      <c r="AH168" s="200"/>
      <c r="AI168" s="200"/>
      <c r="AJ168" s="200"/>
      <c r="AK168" s="200"/>
      <c r="AL168" s="200"/>
      <c r="AM168" s="200"/>
      <c r="AN168" s="200"/>
      <c r="AO168" s="200"/>
      <c r="AP168" s="200"/>
      <c r="AQ168" s="200"/>
      <c r="AR168" s="200"/>
      <c r="AS168" s="200"/>
      <c r="AT168" s="200"/>
      <c r="AU168" s="200"/>
      <c r="AV168" s="200"/>
      <c r="AW168" s="200"/>
      <c r="AX168" s="200"/>
      <c r="AY168" s="200"/>
      <c r="AZ168" s="200"/>
      <c r="BA168" s="200"/>
      <c r="BB168" s="200"/>
    </row>
    <row r="169" spans="2:123" x14ac:dyDescent="0.2">
      <c r="B169" s="1"/>
    </row>
    <row r="170" spans="2:123" x14ac:dyDescent="0.2">
      <c r="B170" s="1"/>
    </row>
    <row r="171" spans="2:123" ht="33.75" x14ac:dyDescent="0.2">
      <c r="B171" s="174" t="s">
        <v>342</v>
      </c>
      <c r="C171" s="722" t="s">
        <v>111</v>
      </c>
      <c r="D171" s="723"/>
      <c r="E171" s="723"/>
      <c r="F171" s="723"/>
      <c r="G171" s="723"/>
      <c r="H171" s="724"/>
    </row>
    <row r="172" spans="2:123" ht="33.75" x14ac:dyDescent="0.2">
      <c r="B172" s="84" t="s">
        <v>91</v>
      </c>
      <c r="C172" s="125" t="s">
        <v>205</v>
      </c>
      <c r="D172" s="125" t="s">
        <v>210</v>
      </c>
      <c r="E172" s="125" t="s">
        <v>206</v>
      </c>
      <c r="F172" s="125" t="s">
        <v>207</v>
      </c>
      <c r="G172" s="125" t="s">
        <v>208</v>
      </c>
      <c r="H172" s="125" t="s">
        <v>209</v>
      </c>
    </row>
    <row r="173" spans="2:123" x14ac:dyDescent="0.2">
      <c r="B173" s="3" t="s">
        <v>106</v>
      </c>
      <c r="C173" s="74">
        <v>5.1999999999999998E-2</v>
      </c>
      <c r="D173" s="74">
        <v>2.1999999999999999E-2</v>
      </c>
      <c r="E173" s="74">
        <v>7.3999999999999996E-2</v>
      </c>
      <c r="F173" s="74">
        <v>0.03</v>
      </c>
      <c r="G173" s="74">
        <v>8.2000000000000003E-2</v>
      </c>
      <c r="H173" s="74">
        <v>0.105</v>
      </c>
    </row>
    <row r="174" spans="2:123" x14ac:dyDescent="0.2">
      <c r="B174" s="3" t="s">
        <v>107</v>
      </c>
      <c r="C174" s="74">
        <v>4.7E-2</v>
      </c>
      <c r="D174" s="74">
        <v>0.02</v>
      </c>
      <c r="E174" s="74">
        <v>6.8000000000000005E-2</v>
      </c>
      <c r="F174" s="74">
        <v>2.8000000000000001E-2</v>
      </c>
      <c r="G174" s="74">
        <v>7.4999999999999997E-2</v>
      </c>
      <c r="H174" s="74">
        <v>9.5000000000000001E-2</v>
      </c>
    </row>
    <row r="175" spans="2:123" x14ac:dyDescent="0.2">
      <c r="B175" s="5" t="s">
        <v>340</v>
      </c>
      <c r="C175" s="196">
        <v>0.12</v>
      </c>
      <c r="D175" s="196">
        <v>0.04</v>
      </c>
      <c r="E175" s="196">
        <v>0.13900000000000001</v>
      </c>
      <c r="F175" s="196">
        <v>5.3999999999999999E-2</v>
      </c>
      <c r="G175" s="196">
        <v>0.17399999999999999</v>
      </c>
      <c r="H175" s="196">
        <v>0.189</v>
      </c>
    </row>
    <row r="176" spans="2:123" x14ac:dyDescent="0.2">
      <c r="B176" s="3" t="s">
        <v>73</v>
      </c>
      <c r="C176" s="74">
        <v>0.217</v>
      </c>
      <c r="D176" s="74">
        <v>0.104</v>
      </c>
      <c r="E176" s="74">
        <v>0.32200000000000001</v>
      </c>
      <c r="F176" s="74">
        <v>0.14799999999999999</v>
      </c>
      <c r="G176" s="74">
        <v>0.36499999999999999</v>
      </c>
      <c r="H176" s="74">
        <v>0.40500000000000003</v>
      </c>
    </row>
    <row r="177" spans="2:5" x14ac:dyDescent="0.2">
      <c r="B177" s="1" t="s">
        <v>475</v>
      </c>
    </row>
    <row r="179" spans="2:5" ht="24.6" customHeight="1" x14ac:dyDescent="0.2">
      <c r="B179" s="174" t="s">
        <v>112</v>
      </c>
      <c r="C179" s="201" t="s">
        <v>343</v>
      </c>
    </row>
    <row r="180" spans="2:5" x14ac:dyDescent="0.2">
      <c r="B180" s="64" t="s">
        <v>344</v>
      </c>
      <c r="C180" s="77">
        <v>0.60299999999999998</v>
      </c>
      <c r="E180" s="2" t="s">
        <v>113</v>
      </c>
    </row>
    <row r="181" spans="2:5" x14ac:dyDescent="0.2">
      <c r="B181" s="44" t="s">
        <v>345</v>
      </c>
      <c r="C181" s="78">
        <v>0.65300000000000002</v>
      </c>
    </row>
    <row r="182" spans="2:5" x14ac:dyDescent="0.2">
      <c r="B182" s="202" t="s">
        <v>346</v>
      </c>
      <c r="C182" s="203">
        <v>0.20200000000000001</v>
      </c>
    </row>
    <row r="183" spans="2:5" x14ac:dyDescent="0.2">
      <c r="B183" s="1" t="s">
        <v>347</v>
      </c>
    </row>
    <row r="184" spans="2:5" x14ac:dyDescent="0.2">
      <c r="B184" s="1"/>
    </row>
    <row r="185" spans="2:5" ht="15.75" customHeight="1" x14ac:dyDescent="0.2">
      <c r="B185" s="711" t="s">
        <v>348</v>
      </c>
      <c r="C185" s="721"/>
      <c r="D185" s="725"/>
    </row>
    <row r="186" spans="2:5" ht="16.5" customHeight="1" x14ac:dyDescent="0.2">
      <c r="B186" s="85" t="s">
        <v>91</v>
      </c>
      <c r="C186" s="82" t="s">
        <v>114</v>
      </c>
      <c r="D186" s="82" t="s">
        <v>115</v>
      </c>
    </row>
    <row r="187" spans="2:5" x14ac:dyDescent="0.2">
      <c r="B187" s="83" t="s">
        <v>106</v>
      </c>
      <c r="C187" s="86">
        <v>5.5E-2</v>
      </c>
      <c r="D187" s="74">
        <v>5.0599999999999996</v>
      </c>
    </row>
    <row r="188" spans="2:5" x14ac:dyDescent="0.2">
      <c r="B188" s="45" t="s">
        <v>107</v>
      </c>
      <c r="C188" s="87">
        <v>4.4999999999999998E-2</v>
      </c>
      <c r="D188" s="74">
        <v>3.2789999999999999</v>
      </c>
    </row>
    <row r="189" spans="2:5" x14ac:dyDescent="0.2">
      <c r="B189" s="5" t="s">
        <v>340</v>
      </c>
      <c r="C189" s="203">
        <v>4.2000000000000003E-2</v>
      </c>
      <c r="D189" s="196">
        <v>4.6879999999999997</v>
      </c>
    </row>
    <row r="190" spans="2:5" x14ac:dyDescent="0.2">
      <c r="B190" s="45" t="s">
        <v>73</v>
      </c>
      <c r="C190" s="87">
        <v>0.10199999999999999</v>
      </c>
      <c r="D190" s="74">
        <v>19.067</v>
      </c>
    </row>
    <row r="191" spans="2:5" x14ac:dyDescent="0.2">
      <c r="B191" s="1" t="s">
        <v>476</v>
      </c>
    </row>
    <row r="193" spans="2:8" ht="22.5" customHeight="1" x14ac:dyDescent="0.2">
      <c r="B193" s="711" t="s">
        <v>349</v>
      </c>
      <c r="C193" s="712"/>
      <c r="D193" s="712"/>
      <c r="E193" s="712"/>
    </row>
    <row r="194" spans="2:8" ht="22.5" customHeight="1" x14ac:dyDescent="0.2">
      <c r="B194" s="85" t="s">
        <v>350</v>
      </c>
      <c r="C194" s="81" t="s">
        <v>60</v>
      </c>
      <c r="D194" s="81" t="s">
        <v>61</v>
      </c>
      <c r="E194" s="81" t="s">
        <v>62</v>
      </c>
    </row>
    <row r="195" spans="2:8" ht="22.5" customHeight="1" x14ac:dyDescent="0.2">
      <c r="B195" s="204" t="s">
        <v>351</v>
      </c>
      <c r="C195" s="205">
        <v>1.524</v>
      </c>
      <c r="D195" s="205">
        <v>6.202</v>
      </c>
      <c r="E195" s="205">
        <v>51.39</v>
      </c>
      <c r="H195" s="2" t="s">
        <v>124</v>
      </c>
    </row>
    <row r="196" spans="2:8" ht="22.5" customHeight="1" x14ac:dyDescent="0.2">
      <c r="B196" s="206" t="s">
        <v>352</v>
      </c>
      <c r="C196" s="205">
        <v>0.753</v>
      </c>
      <c r="D196" s="205">
        <v>5.1580000000000004</v>
      </c>
      <c r="E196" s="205">
        <v>51.411000000000001</v>
      </c>
    </row>
    <row r="197" spans="2:8" ht="22.5" customHeight="1" x14ac:dyDescent="0.2">
      <c r="B197" s="46" t="s">
        <v>353</v>
      </c>
      <c r="C197" s="91">
        <v>2.1339999999999999</v>
      </c>
      <c r="D197" s="91">
        <v>8.6829999999999998</v>
      </c>
      <c r="E197" s="91">
        <v>71.945999999999998</v>
      </c>
      <c r="G197" s="127"/>
    </row>
    <row r="198" spans="2:8" ht="22.5" customHeight="1" x14ac:dyDescent="0.2">
      <c r="B198" s="90" t="s">
        <v>354</v>
      </c>
      <c r="C198" s="91">
        <v>1.2050000000000001</v>
      </c>
      <c r="D198" s="91">
        <v>8.2530000000000001</v>
      </c>
      <c r="E198" s="91">
        <v>82.257999999999996</v>
      </c>
      <c r="G198" s="127"/>
    </row>
    <row r="199" spans="2:8" ht="22.5" customHeight="1" x14ac:dyDescent="0.2">
      <c r="B199" s="46" t="s">
        <v>355</v>
      </c>
      <c r="C199" s="91">
        <v>0.61</v>
      </c>
      <c r="D199" s="91">
        <v>2.4809999999999999</v>
      </c>
      <c r="E199" s="91">
        <v>20.556000000000001</v>
      </c>
      <c r="G199" s="127"/>
    </row>
    <row r="200" spans="2:8" ht="22.5" customHeight="1" x14ac:dyDescent="0.2">
      <c r="B200" s="46" t="s">
        <v>356</v>
      </c>
      <c r="C200" s="91">
        <v>0.45200000000000001</v>
      </c>
      <c r="D200" s="91">
        <v>3.0950000000000002</v>
      </c>
      <c r="E200" s="91">
        <v>30.847000000000001</v>
      </c>
      <c r="G200" s="127"/>
    </row>
    <row r="201" spans="2:8" x14ac:dyDescent="0.2">
      <c r="B201" s="1" t="s">
        <v>357</v>
      </c>
    </row>
    <row r="203" spans="2:8" ht="23.25" customHeight="1" x14ac:dyDescent="0.2">
      <c r="B203" s="711" t="s">
        <v>116</v>
      </c>
      <c r="C203" s="712"/>
      <c r="D203" s="712"/>
      <c r="E203" s="712"/>
      <c r="F203" s="88"/>
    </row>
    <row r="204" spans="2:8" ht="22.5" customHeight="1" x14ac:dyDescent="0.2">
      <c r="B204" s="85" t="s">
        <v>75</v>
      </c>
      <c r="C204" s="81" t="s">
        <v>60</v>
      </c>
      <c r="D204" s="81" t="s">
        <v>61</v>
      </c>
      <c r="E204" s="81" t="s">
        <v>62</v>
      </c>
      <c r="F204" s="88"/>
    </row>
    <row r="205" spans="2:8" ht="22.5" customHeight="1" x14ac:dyDescent="0.2">
      <c r="B205" s="46" t="s">
        <v>117</v>
      </c>
      <c r="C205" s="91">
        <v>1.1120000000000001</v>
      </c>
      <c r="D205" s="91">
        <v>6.5410000000000004</v>
      </c>
      <c r="E205" s="91">
        <v>47.969000000000001</v>
      </c>
      <c r="F205" s="89"/>
      <c r="G205" s="127"/>
      <c r="H205" s="2" t="s">
        <v>124</v>
      </c>
    </row>
    <row r="206" spans="2:8" ht="22.5" x14ac:dyDescent="0.2">
      <c r="B206" s="90" t="s">
        <v>118</v>
      </c>
      <c r="C206" s="91">
        <v>0.26</v>
      </c>
      <c r="D206" s="91">
        <v>4.585</v>
      </c>
      <c r="E206" s="91">
        <v>24.452999999999999</v>
      </c>
      <c r="F206" s="89"/>
      <c r="G206" s="127"/>
    </row>
    <row r="207" spans="2:8" ht="22.5" x14ac:dyDescent="0.2">
      <c r="B207" s="46" t="s">
        <v>119</v>
      </c>
      <c r="C207" s="91">
        <v>0.754</v>
      </c>
      <c r="D207" s="91">
        <v>4.4370000000000003</v>
      </c>
      <c r="E207" s="91">
        <v>29.582999999999998</v>
      </c>
      <c r="F207" s="89"/>
      <c r="G207" s="127"/>
    </row>
    <row r="208" spans="2:8" ht="22.5" x14ac:dyDescent="0.2">
      <c r="B208" s="90" t="s">
        <v>120</v>
      </c>
      <c r="C208" s="91">
        <v>0.14299999999999999</v>
      </c>
      <c r="D208" s="91">
        <v>1.054</v>
      </c>
      <c r="E208" s="91">
        <v>11.382999999999999</v>
      </c>
      <c r="F208" s="89"/>
      <c r="G208" s="127"/>
    </row>
    <row r="209" spans="2:54" ht="22.5" x14ac:dyDescent="0.2">
      <c r="B209" s="46" t="s">
        <v>121</v>
      </c>
      <c r="C209" s="91">
        <v>0.78200000000000003</v>
      </c>
      <c r="D209" s="91">
        <v>1.1499999999999999</v>
      </c>
      <c r="E209" s="91">
        <v>6.9029999999999996</v>
      </c>
      <c r="F209" s="89"/>
      <c r="G209" s="127"/>
    </row>
    <row r="210" spans="2:54" ht="22.5" x14ac:dyDescent="0.2">
      <c r="B210" s="46" t="s">
        <v>122</v>
      </c>
      <c r="C210" s="91">
        <v>0.26500000000000001</v>
      </c>
      <c r="D210" s="91">
        <v>1.216</v>
      </c>
      <c r="E210" s="91">
        <v>12.846</v>
      </c>
      <c r="F210" s="89"/>
      <c r="G210" s="127"/>
    </row>
    <row r="211" spans="2:54" ht="22.5" x14ac:dyDescent="0.2">
      <c r="B211" s="46" t="s">
        <v>123</v>
      </c>
      <c r="C211" s="91">
        <v>0.24099999999999999</v>
      </c>
      <c r="D211" s="91">
        <v>0.97299999999999998</v>
      </c>
      <c r="E211" s="91">
        <v>6.8970000000000002</v>
      </c>
      <c r="F211" s="89"/>
      <c r="G211" s="127"/>
    </row>
    <row r="212" spans="2:54" x14ac:dyDescent="0.2">
      <c r="B212" s="1" t="s">
        <v>358</v>
      </c>
    </row>
    <row r="214" spans="2:54" ht="22.5" x14ac:dyDescent="0.2">
      <c r="B214" s="174" t="s">
        <v>125</v>
      </c>
      <c r="C214" s="126">
        <v>2024</v>
      </c>
      <c r="D214" s="126">
        <v>2025</v>
      </c>
      <c r="E214" s="126">
        <v>2026</v>
      </c>
      <c r="F214" s="126">
        <v>2027</v>
      </c>
      <c r="G214" s="126">
        <v>2028</v>
      </c>
      <c r="H214" s="126">
        <v>2029</v>
      </c>
      <c r="I214" s="126">
        <v>2030</v>
      </c>
      <c r="J214" s="126">
        <v>2031</v>
      </c>
      <c r="K214" s="126">
        <v>2032</v>
      </c>
      <c r="L214" s="126">
        <v>2033</v>
      </c>
      <c r="M214" s="126">
        <v>2034</v>
      </c>
      <c r="N214" s="126">
        <v>2035</v>
      </c>
      <c r="O214" s="126">
        <v>2036</v>
      </c>
      <c r="P214" s="126">
        <v>2037</v>
      </c>
      <c r="Q214" s="126">
        <v>2038</v>
      </c>
      <c r="R214" s="126">
        <v>2039</v>
      </c>
      <c r="S214" s="126">
        <v>2040</v>
      </c>
      <c r="T214" s="126">
        <v>2041</v>
      </c>
      <c r="U214" s="126">
        <v>2042</v>
      </c>
      <c r="V214" s="126">
        <v>2043</v>
      </c>
      <c r="W214" s="126">
        <v>2044</v>
      </c>
      <c r="X214" s="126">
        <v>2045</v>
      </c>
      <c r="Y214" s="126">
        <v>2046</v>
      </c>
      <c r="Z214" s="126">
        <v>2047</v>
      </c>
      <c r="AA214" s="126">
        <v>2048</v>
      </c>
      <c r="AB214" s="126">
        <v>2049</v>
      </c>
      <c r="AC214" s="126">
        <v>2050</v>
      </c>
      <c r="AD214" s="126">
        <v>2051</v>
      </c>
      <c r="AE214" s="126">
        <v>2052</v>
      </c>
      <c r="AF214" s="126">
        <v>2053</v>
      </c>
      <c r="AG214" s="126">
        <v>2054</v>
      </c>
      <c r="AH214" s="126">
        <v>2055</v>
      </c>
      <c r="AI214" s="126">
        <v>2056</v>
      </c>
      <c r="AJ214" s="126">
        <v>2057</v>
      </c>
      <c r="AK214" s="126">
        <v>2058</v>
      </c>
      <c r="AL214" s="126">
        <v>2059</v>
      </c>
      <c r="AM214" s="126">
        <v>2060</v>
      </c>
      <c r="AN214" s="126">
        <v>2061</v>
      </c>
      <c r="AO214" s="126">
        <v>2062</v>
      </c>
      <c r="AP214" s="126">
        <v>2063</v>
      </c>
      <c r="AQ214" s="126">
        <v>2064</v>
      </c>
      <c r="AR214" s="126">
        <v>2065</v>
      </c>
      <c r="AS214" s="126">
        <v>2066</v>
      </c>
      <c r="AT214" s="126">
        <v>2067</v>
      </c>
      <c r="AU214" s="126">
        <v>2068</v>
      </c>
      <c r="AV214" s="126">
        <v>2069</v>
      </c>
      <c r="AW214" s="126">
        <v>2070</v>
      </c>
      <c r="AX214" s="126">
        <v>2071</v>
      </c>
      <c r="AY214" s="126">
        <v>2072</v>
      </c>
      <c r="AZ214" s="126">
        <v>2073</v>
      </c>
      <c r="BA214" s="126">
        <v>2074</v>
      </c>
      <c r="BB214" s="126">
        <v>2075</v>
      </c>
    </row>
    <row r="215" spans="2:54" x14ac:dyDescent="0.2">
      <c r="B215" s="45" t="s">
        <v>60</v>
      </c>
      <c r="C215" s="92">
        <v>4394687</v>
      </c>
      <c r="D215" s="92">
        <f t="shared" ref="D215:AI215" si="19">ROUND(C215*(1+(0.8*D23)),2)</f>
        <v>4489612.24</v>
      </c>
      <c r="E215" s="92">
        <f t="shared" si="19"/>
        <v>4590179.55</v>
      </c>
      <c r="F215" s="92">
        <f t="shared" si="19"/>
        <v>4667294.57</v>
      </c>
      <c r="G215" s="92">
        <f t="shared" si="19"/>
        <v>4730769.78</v>
      </c>
      <c r="H215" s="92">
        <f t="shared" si="19"/>
        <v>4798892.8600000003</v>
      </c>
      <c r="I215" s="92">
        <f t="shared" si="19"/>
        <v>4860318.6900000004</v>
      </c>
      <c r="J215" s="92">
        <f t="shared" si="19"/>
        <v>4922530.7699999996</v>
      </c>
      <c r="K215" s="92">
        <f t="shared" si="19"/>
        <v>4981601.1399999997</v>
      </c>
      <c r="L215" s="92">
        <f t="shared" si="19"/>
        <v>5041380.3499999996</v>
      </c>
      <c r="M215" s="92">
        <f t="shared" si="19"/>
        <v>5101876.91</v>
      </c>
      <c r="N215" s="92">
        <f t="shared" si="19"/>
        <v>5163099.43</v>
      </c>
      <c r="O215" s="92">
        <f t="shared" si="19"/>
        <v>5225056.62</v>
      </c>
      <c r="P215" s="92">
        <f t="shared" si="19"/>
        <v>5287757.3</v>
      </c>
      <c r="Q215" s="92">
        <f t="shared" si="19"/>
        <v>5351210.3899999997</v>
      </c>
      <c r="R215" s="92">
        <f t="shared" si="19"/>
        <v>5415424.9100000001</v>
      </c>
      <c r="S215" s="92">
        <f t="shared" si="19"/>
        <v>5480410.0099999998</v>
      </c>
      <c r="T215" s="92">
        <f t="shared" si="19"/>
        <v>5546174.9299999997</v>
      </c>
      <c r="U215" s="92">
        <f t="shared" si="19"/>
        <v>5603855.1500000004</v>
      </c>
      <c r="V215" s="92">
        <f t="shared" si="19"/>
        <v>5662135.2400000002</v>
      </c>
      <c r="W215" s="92">
        <f t="shared" si="19"/>
        <v>5721021.4500000002</v>
      </c>
      <c r="X215" s="92">
        <f t="shared" si="19"/>
        <v>5780520.0700000003</v>
      </c>
      <c r="Y215" s="92">
        <f t="shared" si="19"/>
        <v>5840637.4800000004</v>
      </c>
      <c r="Z215" s="92">
        <f t="shared" si="19"/>
        <v>5901380.1100000003</v>
      </c>
      <c r="AA215" s="92">
        <f t="shared" si="19"/>
        <v>5962754.46</v>
      </c>
      <c r="AB215" s="92">
        <f t="shared" si="19"/>
        <v>6024767.1100000003</v>
      </c>
      <c r="AC215" s="92">
        <f t="shared" si="19"/>
        <v>6087424.6900000004</v>
      </c>
      <c r="AD215" s="92">
        <f t="shared" si="19"/>
        <v>6150733.9100000001</v>
      </c>
      <c r="AE215" s="92">
        <f t="shared" si="19"/>
        <v>6209780.96</v>
      </c>
      <c r="AF215" s="92">
        <f t="shared" si="19"/>
        <v>6269394.8600000003</v>
      </c>
      <c r="AG215" s="92">
        <f t="shared" si="19"/>
        <v>6329581.0499999998</v>
      </c>
      <c r="AH215" s="92">
        <f t="shared" si="19"/>
        <v>6390345.0300000003</v>
      </c>
      <c r="AI215" s="92">
        <f t="shared" si="19"/>
        <v>6451692.3399999999</v>
      </c>
      <c r="AJ215" s="92">
        <f t="shared" ref="AJ215:BB215" si="20">ROUND(AI215*(1+(0.8*AJ23)),2)</f>
        <v>6513628.5899999999</v>
      </c>
      <c r="AK215" s="92">
        <f t="shared" si="20"/>
        <v>6576159.4199999999</v>
      </c>
      <c r="AL215" s="92">
        <f t="shared" si="20"/>
        <v>6639290.5499999998</v>
      </c>
      <c r="AM215" s="92">
        <f t="shared" si="20"/>
        <v>6703027.7400000002</v>
      </c>
      <c r="AN215" s="92">
        <f t="shared" si="20"/>
        <v>6767376.8099999996</v>
      </c>
      <c r="AO215" s="92">
        <f t="shared" si="20"/>
        <v>6837757.5300000003</v>
      </c>
      <c r="AP215" s="92">
        <f t="shared" si="20"/>
        <v>6908870.21</v>
      </c>
      <c r="AQ215" s="92">
        <f t="shared" si="20"/>
        <v>6980722.46</v>
      </c>
      <c r="AR215" s="92">
        <f t="shared" si="20"/>
        <v>7053321.9699999997</v>
      </c>
      <c r="AS215" s="92">
        <f t="shared" si="20"/>
        <v>7126676.5199999996</v>
      </c>
      <c r="AT215" s="92">
        <f t="shared" si="20"/>
        <v>7200793.96</v>
      </c>
      <c r="AU215" s="92">
        <f t="shared" si="20"/>
        <v>7275682.2199999997</v>
      </c>
      <c r="AV215" s="92">
        <f t="shared" si="20"/>
        <v>7351349.3200000003</v>
      </c>
      <c r="AW215" s="92">
        <f t="shared" si="20"/>
        <v>7427803.3499999996</v>
      </c>
      <c r="AX215" s="92">
        <f t="shared" si="20"/>
        <v>7505052.5</v>
      </c>
      <c r="AY215" s="92">
        <f t="shared" si="20"/>
        <v>7583105.0499999998</v>
      </c>
      <c r="AZ215" s="92">
        <f t="shared" si="20"/>
        <v>7661969.3399999999</v>
      </c>
      <c r="BA215" s="92">
        <f t="shared" si="20"/>
        <v>7741653.8200000003</v>
      </c>
      <c r="BB215" s="92">
        <f t="shared" si="20"/>
        <v>7822167.0199999996</v>
      </c>
    </row>
    <row r="216" spans="2:54" x14ac:dyDescent="0.2">
      <c r="B216" s="45" t="s">
        <v>61</v>
      </c>
      <c r="C216" s="92">
        <v>624516</v>
      </c>
      <c r="D216" s="92">
        <f t="shared" ref="D216:AI216" si="21">ROUND(C216*(1+(0.8*D23)),2)</f>
        <v>638005.55000000005</v>
      </c>
      <c r="E216" s="92">
        <f t="shared" si="21"/>
        <v>652296.87</v>
      </c>
      <c r="F216" s="92">
        <f t="shared" si="21"/>
        <v>663255.46</v>
      </c>
      <c r="G216" s="92">
        <f t="shared" si="21"/>
        <v>672275.73</v>
      </c>
      <c r="H216" s="92">
        <f t="shared" si="21"/>
        <v>681956.5</v>
      </c>
      <c r="I216" s="92">
        <f t="shared" si="21"/>
        <v>690685.54</v>
      </c>
      <c r="J216" s="92">
        <f t="shared" si="21"/>
        <v>699526.31</v>
      </c>
      <c r="K216" s="92">
        <f t="shared" si="21"/>
        <v>707920.63</v>
      </c>
      <c r="L216" s="92">
        <f t="shared" si="21"/>
        <v>716415.68</v>
      </c>
      <c r="M216" s="92">
        <f t="shared" si="21"/>
        <v>725012.67</v>
      </c>
      <c r="N216" s="92">
        <f t="shared" si="21"/>
        <v>733712.82</v>
      </c>
      <c r="O216" s="92">
        <f t="shared" si="21"/>
        <v>742517.37</v>
      </c>
      <c r="P216" s="92">
        <f t="shared" si="21"/>
        <v>751427.58</v>
      </c>
      <c r="Q216" s="92">
        <f t="shared" si="21"/>
        <v>760444.71</v>
      </c>
      <c r="R216" s="92">
        <f t="shared" si="21"/>
        <v>769570.05</v>
      </c>
      <c r="S216" s="92">
        <f t="shared" si="21"/>
        <v>778804.89</v>
      </c>
      <c r="T216" s="92">
        <f t="shared" si="21"/>
        <v>788150.55</v>
      </c>
      <c r="U216" s="92">
        <f t="shared" si="21"/>
        <v>796347.32</v>
      </c>
      <c r="V216" s="92">
        <f t="shared" si="21"/>
        <v>804629.33</v>
      </c>
      <c r="W216" s="92">
        <f t="shared" si="21"/>
        <v>812997.48</v>
      </c>
      <c r="X216" s="92">
        <f t="shared" si="21"/>
        <v>821452.65</v>
      </c>
      <c r="Y216" s="92">
        <f t="shared" si="21"/>
        <v>829995.76</v>
      </c>
      <c r="Z216" s="92">
        <f t="shared" si="21"/>
        <v>838627.72</v>
      </c>
      <c r="AA216" s="92">
        <f t="shared" si="21"/>
        <v>847349.45</v>
      </c>
      <c r="AB216" s="92">
        <f t="shared" si="21"/>
        <v>856161.88</v>
      </c>
      <c r="AC216" s="92">
        <f t="shared" si="21"/>
        <v>865065.96</v>
      </c>
      <c r="AD216" s="92">
        <f t="shared" si="21"/>
        <v>874062.65</v>
      </c>
      <c r="AE216" s="92">
        <f t="shared" si="21"/>
        <v>882453.65</v>
      </c>
      <c r="AF216" s="92">
        <f t="shared" si="21"/>
        <v>890925.21</v>
      </c>
      <c r="AG216" s="92">
        <f t="shared" si="21"/>
        <v>899478.09</v>
      </c>
      <c r="AH216" s="92">
        <f t="shared" si="21"/>
        <v>908113.08</v>
      </c>
      <c r="AI216" s="92">
        <f t="shared" si="21"/>
        <v>916830.97</v>
      </c>
      <c r="AJ216" s="92">
        <f t="shared" ref="AJ216:BB216" si="22">ROUND(AI216*(1+(0.8*AJ23)),2)</f>
        <v>925632.55</v>
      </c>
      <c r="AK216" s="92">
        <f t="shared" si="22"/>
        <v>934518.62</v>
      </c>
      <c r="AL216" s="92">
        <f t="shared" si="22"/>
        <v>943490</v>
      </c>
      <c r="AM216" s="92">
        <f t="shared" si="22"/>
        <v>952547.5</v>
      </c>
      <c r="AN216" s="92">
        <f t="shared" si="22"/>
        <v>961691.96</v>
      </c>
      <c r="AO216" s="92">
        <f t="shared" si="22"/>
        <v>971693.56</v>
      </c>
      <c r="AP216" s="92">
        <f t="shared" si="22"/>
        <v>981799.17</v>
      </c>
      <c r="AQ216" s="92">
        <f t="shared" si="22"/>
        <v>992009.88</v>
      </c>
      <c r="AR216" s="92">
        <f t="shared" si="22"/>
        <v>1002326.78</v>
      </c>
      <c r="AS216" s="92">
        <f t="shared" si="22"/>
        <v>1012750.98</v>
      </c>
      <c r="AT216" s="92">
        <f t="shared" si="22"/>
        <v>1023283.59</v>
      </c>
      <c r="AU216" s="92">
        <f t="shared" si="22"/>
        <v>1033925.74</v>
      </c>
      <c r="AV216" s="92">
        <f t="shared" si="22"/>
        <v>1044678.57</v>
      </c>
      <c r="AW216" s="92">
        <f t="shared" si="22"/>
        <v>1055543.23</v>
      </c>
      <c r="AX216" s="92">
        <f t="shared" si="22"/>
        <v>1066520.8799999999</v>
      </c>
      <c r="AY216" s="92">
        <f t="shared" si="22"/>
        <v>1077612.7</v>
      </c>
      <c r="AZ216" s="92">
        <f t="shared" si="22"/>
        <v>1088819.8700000001</v>
      </c>
      <c r="BA216" s="92">
        <f t="shared" si="22"/>
        <v>1100143.6000000001</v>
      </c>
      <c r="BB216" s="92">
        <f t="shared" si="22"/>
        <v>1111585.0900000001</v>
      </c>
    </row>
    <row r="217" spans="2:54" x14ac:dyDescent="0.2">
      <c r="B217" s="45" t="s">
        <v>62</v>
      </c>
      <c r="C217" s="92">
        <v>48205</v>
      </c>
      <c r="D217" s="92">
        <f t="shared" ref="D217:AI217" si="23">ROUND(C217*(1+(0.8*D23)),2)</f>
        <v>49246.23</v>
      </c>
      <c r="E217" s="92">
        <f t="shared" si="23"/>
        <v>50349.35</v>
      </c>
      <c r="F217" s="92">
        <f t="shared" si="23"/>
        <v>51195.22</v>
      </c>
      <c r="G217" s="92">
        <f t="shared" si="23"/>
        <v>51891.47</v>
      </c>
      <c r="H217" s="92">
        <f t="shared" si="23"/>
        <v>52638.71</v>
      </c>
      <c r="I217" s="92">
        <f t="shared" si="23"/>
        <v>53312.49</v>
      </c>
      <c r="J217" s="92">
        <f t="shared" si="23"/>
        <v>53994.89</v>
      </c>
      <c r="K217" s="92">
        <f t="shared" si="23"/>
        <v>54642.83</v>
      </c>
      <c r="L217" s="92">
        <f t="shared" si="23"/>
        <v>55298.54</v>
      </c>
      <c r="M217" s="92">
        <f t="shared" si="23"/>
        <v>55962.12</v>
      </c>
      <c r="N217" s="92">
        <f t="shared" si="23"/>
        <v>56633.67</v>
      </c>
      <c r="O217" s="92">
        <f t="shared" si="23"/>
        <v>57313.27</v>
      </c>
      <c r="P217" s="92">
        <f t="shared" si="23"/>
        <v>58001.03</v>
      </c>
      <c r="Q217" s="92">
        <f t="shared" si="23"/>
        <v>58697.04</v>
      </c>
      <c r="R217" s="92">
        <f t="shared" si="23"/>
        <v>59401.4</v>
      </c>
      <c r="S217" s="92">
        <f t="shared" si="23"/>
        <v>60114.22</v>
      </c>
      <c r="T217" s="92">
        <f t="shared" si="23"/>
        <v>60835.59</v>
      </c>
      <c r="U217" s="92">
        <f t="shared" si="23"/>
        <v>61468.28</v>
      </c>
      <c r="V217" s="92">
        <f t="shared" si="23"/>
        <v>62107.55</v>
      </c>
      <c r="W217" s="92">
        <f t="shared" si="23"/>
        <v>62753.47</v>
      </c>
      <c r="X217" s="92">
        <f t="shared" si="23"/>
        <v>63406.11</v>
      </c>
      <c r="Y217" s="92">
        <f t="shared" si="23"/>
        <v>64065.53</v>
      </c>
      <c r="Z217" s="92">
        <f t="shared" si="23"/>
        <v>64731.81</v>
      </c>
      <c r="AA217" s="92">
        <f t="shared" si="23"/>
        <v>65405.02</v>
      </c>
      <c r="AB217" s="92">
        <f t="shared" si="23"/>
        <v>66085.23</v>
      </c>
      <c r="AC217" s="92">
        <f t="shared" si="23"/>
        <v>66772.52</v>
      </c>
      <c r="AD217" s="92">
        <f t="shared" si="23"/>
        <v>67466.95</v>
      </c>
      <c r="AE217" s="92">
        <f t="shared" si="23"/>
        <v>68114.63</v>
      </c>
      <c r="AF217" s="92">
        <f t="shared" si="23"/>
        <v>68768.53</v>
      </c>
      <c r="AG217" s="92">
        <f t="shared" si="23"/>
        <v>69428.710000000006</v>
      </c>
      <c r="AH217" s="92">
        <f t="shared" si="23"/>
        <v>70095.23</v>
      </c>
      <c r="AI217" s="92">
        <f t="shared" si="23"/>
        <v>70768.14</v>
      </c>
      <c r="AJ217" s="92">
        <f t="shared" ref="AJ217:BB217" si="24">ROUND(AI217*(1+(0.8*AJ23)),2)</f>
        <v>71447.509999999995</v>
      </c>
      <c r="AK217" s="92">
        <f t="shared" si="24"/>
        <v>72133.41</v>
      </c>
      <c r="AL217" s="92">
        <f t="shared" si="24"/>
        <v>72825.89</v>
      </c>
      <c r="AM217" s="92">
        <f t="shared" si="24"/>
        <v>73525.02</v>
      </c>
      <c r="AN217" s="92">
        <f t="shared" si="24"/>
        <v>74230.86</v>
      </c>
      <c r="AO217" s="92">
        <f t="shared" si="24"/>
        <v>75002.86</v>
      </c>
      <c r="AP217" s="92">
        <f t="shared" si="24"/>
        <v>75782.89</v>
      </c>
      <c r="AQ217" s="92">
        <f t="shared" si="24"/>
        <v>76571.03</v>
      </c>
      <c r="AR217" s="92">
        <f t="shared" si="24"/>
        <v>77367.37</v>
      </c>
      <c r="AS217" s="92">
        <f t="shared" si="24"/>
        <v>78171.990000000005</v>
      </c>
      <c r="AT217" s="92">
        <f t="shared" si="24"/>
        <v>78984.98</v>
      </c>
      <c r="AU217" s="92">
        <f t="shared" si="24"/>
        <v>79806.42</v>
      </c>
      <c r="AV217" s="92">
        <f t="shared" si="24"/>
        <v>80636.41</v>
      </c>
      <c r="AW217" s="92">
        <f t="shared" si="24"/>
        <v>81475.03</v>
      </c>
      <c r="AX217" s="92">
        <f t="shared" si="24"/>
        <v>82322.37</v>
      </c>
      <c r="AY217" s="92">
        <f t="shared" si="24"/>
        <v>83178.52</v>
      </c>
      <c r="AZ217" s="92">
        <f t="shared" si="24"/>
        <v>84043.58</v>
      </c>
      <c r="BA217" s="92">
        <f t="shared" si="24"/>
        <v>84917.63</v>
      </c>
      <c r="BB217" s="92">
        <f t="shared" si="24"/>
        <v>85800.77</v>
      </c>
    </row>
    <row r="218" spans="2:54" x14ac:dyDescent="0.2">
      <c r="B218" s="1" t="s">
        <v>323</v>
      </c>
    </row>
    <row r="219" spans="2:54" x14ac:dyDescent="0.2">
      <c r="B219" s="1"/>
    </row>
    <row r="220" spans="2:54" ht="16.5" customHeight="1" x14ac:dyDescent="0.2">
      <c r="B220" s="711" t="s">
        <v>147</v>
      </c>
      <c r="C220" s="712"/>
      <c r="D220" s="712"/>
      <c r="E220" s="712"/>
      <c r="F220" s="713"/>
      <c r="G220" s="713"/>
    </row>
    <row r="221" spans="2:54" ht="16.5" customHeight="1" x14ac:dyDescent="0.2">
      <c r="B221" s="85" t="s">
        <v>91</v>
      </c>
      <c r="C221" s="93" t="s">
        <v>133</v>
      </c>
      <c r="D221" s="93" t="s">
        <v>134</v>
      </c>
      <c r="E221" s="93" t="s">
        <v>135</v>
      </c>
      <c r="F221" s="94" t="s">
        <v>132</v>
      </c>
      <c r="G221" s="94" t="s">
        <v>136</v>
      </c>
    </row>
    <row r="222" spans="2:54" x14ac:dyDescent="0.2">
      <c r="B222" s="46" t="s">
        <v>106</v>
      </c>
      <c r="C222" s="91">
        <v>0.03</v>
      </c>
      <c r="D222" s="91">
        <v>8.73</v>
      </c>
      <c r="E222" s="91">
        <v>0.02</v>
      </c>
      <c r="F222" s="78">
        <v>10.050000000000001</v>
      </c>
      <c r="G222" s="78">
        <v>1.1060000000000001</v>
      </c>
    </row>
    <row r="223" spans="2:54" x14ac:dyDescent="0.2">
      <c r="B223" s="90" t="s">
        <v>107</v>
      </c>
      <c r="C223" s="91">
        <v>1.1000000000000001</v>
      </c>
      <c r="D223" s="91">
        <v>12.96</v>
      </c>
      <c r="E223" s="91">
        <v>0.02</v>
      </c>
      <c r="F223" s="78">
        <v>0.7</v>
      </c>
      <c r="G223" s="78">
        <v>6.5000000000000002E-2</v>
      </c>
    </row>
    <row r="224" spans="2:54" x14ac:dyDescent="0.2">
      <c r="B224" s="46" t="s">
        <v>137</v>
      </c>
      <c r="C224" s="91">
        <v>0.94</v>
      </c>
      <c r="D224" s="91">
        <v>33.369999999999997</v>
      </c>
      <c r="E224" s="91">
        <v>0.02</v>
      </c>
      <c r="F224" s="78">
        <v>1.92</v>
      </c>
      <c r="G224" s="78">
        <v>1.2999999999999999E-2</v>
      </c>
    </row>
    <row r="225" spans="2:54" x14ac:dyDescent="0.2">
      <c r="B225" s="1" t="s">
        <v>161</v>
      </c>
    </row>
    <row r="227" spans="2:54" ht="16.5" customHeight="1" x14ac:dyDescent="0.2">
      <c r="B227" s="711" t="s">
        <v>148</v>
      </c>
      <c r="C227" s="714"/>
      <c r="D227" s="714"/>
      <c r="E227" s="714"/>
      <c r="F227"/>
      <c r="G227"/>
    </row>
    <row r="228" spans="2:54" ht="16.5" customHeight="1" x14ac:dyDescent="0.2">
      <c r="B228" s="85" t="s">
        <v>91</v>
      </c>
      <c r="C228" s="93" t="s">
        <v>149</v>
      </c>
      <c r="D228" s="93" t="s">
        <v>150</v>
      </c>
      <c r="E228" s="93" t="s">
        <v>151</v>
      </c>
      <c r="F228" s="99"/>
      <c r="G228" s="99"/>
    </row>
    <row r="229" spans="2:54" x14ac:dyDescent="0.2">
      <c r="B229" s="46" t="s">
        <v>106</v>
      </c>
      <c r="C229" s="101">
        <v>3180</v>
      </c>
      <c r="D229" s="102">
        <v>1.0900000000000001</v>
      </c>
      <c r="E229" s="91">
        <v>0.20599999999999999</v>
      </c>
      <c r="F229" s="98"/>
      <c r="G229" s="98"/>
    </row>
    <row r="230" spans="2:54" x14ac:dyDescent="0.2">
      <c r="B230" s="90" t="s">
        <v>107</v>
      </c>
      <c r="C230" s="101">
        <v>3140</v>
      </c>
      <c r="D230" s="102">
        <v>0.23</v>
      </c>
      <c r="E230" s="91">
        <v>8.6999999999999994E-2</v>
      </c>
      <c r="F230" s="98"/>
      <c r="G230" s="98"/>
    </row>
    <row r="231" spans="2:54" x14ac:dyDescent="0.2">
      <c r="B231" s="46" t="s">
        <v>137</v>
      </c>
      <c r="C231" s="101">
        <v>3140</v>
      </c>
      <c r="D231" s="102">
        <v>0.27</v>
      </c>
      <c r="E231" s="91">
        <v>5.0999999999999997E-2</v>
      </c>
      <c r="F231" s="98"/>
      <c r="G231" s="98"/>
    </row>
    <row r="232" spans="2:54" x14ac:dyDescent="0.2">
      <c r="B232" s="103" t="s">
        <v>326</v>
      </c>
      <c r="C232" s="97"/>
      <c r="D232" s="97"/>
      <c r="E232" s="97"/>
      <c r="F232" s="98"/>
      <c r="G232" s="98"/>
    </row>
    <row r="234" spans="2:54" ht="22.5" x14ac:dyDescent="0.2">
      <c r="B234" s="174" t="s">
        <v>154</v>
      </c>
      <c r="C234" s="126">
        <v>2024</v>
      </c>
      <c r="D234" s="126">
        <v>2025</v>
      </c>
      <c r="E234" s="126">
        <v>2026</v>
      </c>
      <c r="F234" s="126">
        <v>2027</v>
      </c>
      <c r="G234" s="126">
        <v>2028</v>
      </c>
      <c r="H234" s="126">
        <v>2029</v>
      </c>
      <c r="I234" s="126">
        <v>2030</v>
      </c>
      <c r="J234" s="126">
        <v>2031</v>
      </c>
      <c r="K234" s="126">
        <v>2032</v>
      </c>
      <c r="L234" s="126">
        <v>2033</v>
      </c>
      <c r="M234" s="126">
        <v>2034</v>
      </c>
      <c r="N234" s="126">
        <v>2035</v>
      </c>
      <c r="O234" s="126">
        <v>2036</v>
      </c>
      <c r="P234" s="126">
        <v>2037</v>
      </c>
      <c r="Q234" s="126">
        <v>2038</v>
      </c>
      <c r="R234" s="126">
        <v>2039</v>
      </c>
      <c r="S234" s="126">
        <v>2040</v>
      </c>
      <c r="T234" s="126">
        <v>2041</v>
      </c>
      <c r="U234" s="126">
        <v>2042</v>
      </c>
      <c r="V234" s="126">
        <v>2043</v>
      </c>
      <c r="W234" s="126">
        <v>2044</v>
      </c>
      <c r="X234" s="126">
        <v>2045</v>
      </c>
      <c r="Y234" s="126">
        <v>2046</v>
      </c>
      <c r="Z234" s="126">
        <v>2047</v>
      </c>
      <c r="AA234" s="126">
        <v>2048</v>
      </c>
      <c r="AB234" s="126">
        <v>2049</v>
      </c>
      <c r="AC234" s="126">
        <v>2050</v>
      </c>
      <c r="AD234" s="126">
        <v>2051</v>
      </c>
      <c r="AE234" s="126">
        <v>2052</v>
      </c>
      <c r="AF234" s="126">
        <v>2053</v>
      </c>
      <c r="AG234" s="126">
        <v>2054</v>
      </c>
      <c r="AH234" s="126">
        <v>2055</v>
      </c>
      <c r="AI234" s="126">
        <v>2056</v>
      </c>
      <c r="AJ234" s="126">
        <v>2057</v>
      </c>
      <c r="AK234" s="126">
        <v>2058</v>
      </c>
      <c r="AL234" s="126">
        <v>2059</v>
      </c>
      <c r="AM234" s="126">
        <v>2060</v>
      </c>
      <c r="AN234" s="126">
        <v>2061</v>
      </c>
      <c r="AO234" s="126">
        <v>2062</v>
      </c>
      <c r="AP234" s="126">
        <v>2063</v>
      </c>
      <c r="AQ234" s="126">
        <v>2064</v>
      </c>
      <c r="AR234" s="126">
        <v>2065</v>
      </c>
      <c r="AS234" s="126">
        <v>2066</v>
      </c>
      <c r="AT234" s="126">
        <v>2067</v>
      </c>
      <c r="AU234" s="126">
        <v>2068</v>
      </c>
      <c r="AV234" s="126">
        <v>2069</v>
      </c>
      <c r="AW234" s="126">
        <v>2070</v>
      </c>
      <c r="AX234" s="126">
        <v>2071</v>
      </c>
      <c r="AY234" s="126">
        <v>2072</v>
      </c>
      <c r="AZ234" s="126">
        <v>2073</v>
      </c>
      <c r="BA234" s="126">
        <v>2074</v>
      </c>
      <c r="BB234" s="126">
        <v>2075</v>
      </c>
    </row>
    <row r="235" spans="2:54" x14ac:dyDescent="0.2">
      <c r="B235" s="45" t="s">
        <v>155</v>
      </c>
      <c r="C235" s="104">
        <f>1.69*0.01</f>
        <v>1.6899999999999998E-2</v>
      </c>
      <c r="D235" s="104">
        <f>ROUND(C235*(1+(0.8*D$23)),5)</f>
        <v>1.7270000000000001E-2</v>
      </c>
      <c r="E235" s="104">
        <f t="shared" ref="E235:BB237" si="25">ROUND(D235*(1+(0.8*E$23)),5)</f>
        <v>1.7659999999999999E-2</v>
      </c>
      <c r="F235" s="104">
        <f t="shared" si="25"/>
        <v>1.796E-2</v>
      </c>
      <c r="G235" s="104">
        <f t="shared" si="25"/>
        <v>1.8200000000000001E-2</v>
      </c>
      <c r="H235" s="104">
        <f t="shared" si="25"/>
        <v>1.8460000000000001E-2</v>
      </c>
      <c r="I235" s="104">
        <f t="shared" si="25"/>
        <v>1.8700000000000001E-2</v>
      </c>
      <c r="J235" s="104">
        <f t="shared" si="25"/>
        <v>1.8939999999999999E-2</v>
      </c>
      <c r="K235" s="104">
        <f t="shared" si="25"/>
        <v>1.917E-2</v>
      </c>
      <c r="L235" s="104">
        <f t="shared" si="25"/>
        <v>1.9400000000000001E-2</v>
      </c>
      <c r="M235" s="104">
        <f t="shared" si="25"/>
        <v>1.9630000000000002E-2</v>
      </c>
      <c r="N235" s="104">
        <f t="shared" si="25"/>
        <v>1.9869999999999999E-2</v>
      </c>
      <c r="O235" s="104">
        <f t="shared" si="25"/>
        <v>2.0109999999999999E-2</v>
      </c>
      <c r="P235" s="104">
        <f t="shared" si="25"/>
        <v>2.035E-2</v>
      </c>
      <c r="Q235" s="104">
        <f t="shared" si="25"/>
        <v>2.0590000000000001E-2</v>
      </c>
      <c r="R235" s="104">
        <f t="shared" si="25"/>
        <v>2.0840000000000001E-2</v>
      </c>
      <c r="S235" s="104">
        <f t="shared" si="25"/>
        <v>2.1090000000000001E-2</v>
      </c>
      <c r="T235" s="104">
        <f t="shared" si="25"/>
        <v>2.1340000000000001E-2</v>
      </c>
      <c r="U235" s="104">
        <f t="shared" si="25"/>
        <v>2.1559999999999999E-2</v>
      </c>
      <c r="V235" s="104">
        <f t="shared" si="25"/>
        <v>2.1780000000000001E-2</v>
      </c>
      <c r="W235" s="104">
        <f t="shared" si="25"/>
        <v>2.2009999999999998E-2</v>
      </c>
      <c r="X235" s="104">
        <f t="shared" si="25"/>
        <v>2.2239999999999999E-2</v>
      </c>
      <c r="Y235" s="104">
        <f t="shared" si="25"/>
        <v>2.247E-2</v>
      </c>
      <c r="Z235" s="104">
        <f t="shared" si="25"/>
        <v>2.2700000000000001E-2</v>
      </c>
      <c r="AA235" s="104">
        <f t="shared" si="25"/>
        <v>2.2939999999999999E-2</v>
      </c>
      <c r="AB235" s="104">
        <f t="shared" si="25"/>
        <v>2.3179999999999999E-2</v>
      </c>
      <c r="AC235" s="104">
        <f t="shared" si="25"/>
        <v>2.342E-2</v>
      </c>
      <c r="AD235" s="104">
        <f t="shared" si="25"/>
        <v>2.366E-2</v>
      </c>
      <c r="AE235" s="104">
        <f t="shared" si="25"/>
        <v>2.3890000000000002E-2</v>
      </c>
      <c r="AF235" s="104">
        <f t="shared" si="25"/>
        <v>2.4119999999999999E-2</v>
      </c>
      <c r="AG235" s="104">
        <f t="shared" si="25"/>
        <v>2.435E-2</v>
      </c>
      <c r="AH235" s="104">
        <f t="shared" si="25"/>
        <v>2.4580000000000001E-2</v>
      </c>
      <c r="AI235" s="104">
        <f t="shared" si="25"/>
        <v>2.4819999999999998E-2</v>
      </c>
      <c r="AJ235" s="104">
        <f t="shared" si="25"/>
        <v>2.5059999999999999E-2</v>
      </c>
      <c r="AK235" s="104">
        <f t="shared" si="25"/>
        <v>2.53E-2</v>
      </c>
      <c r="AL235" s="104">
        <f t="shared" si="25"/>
        <v>2.554E-2</v>
      </c>
      <c r="AM235" s="104">
        <f t="shared" si="25"/>
        <v>2.579E-2</v>
      </c>
      <c r="AN235" s="104">
        <f t="shared" si="25"/>
        <v>2.6040000000000001E-2</v>
      </c>
      <c r="AO235" s="104">
        <f t="shared" si="25"/>
        <v>2.631E-2</v>
      </c>
      <c r="AP235" s="104">
        <f t="shared" si="25"/>
        <v>2.6579999999999999E-2</v>
      </c>
      <c r="AQ235" s="104">
        <f t="shared" si="25"/>
        <v>2.6859999999999998E-2</v>
      </c>
      <c r="AR235" s="104">
        <f t="shared" si="25"/>
        <v>2.7140000000000001E-2</v>
      </c>
      <c r="AS235" s="104">
        <f t="shared" si="25"/>
        <v>2.742E-2</v>
      </c>
      <c r="AT235" s="104">
        <f t="shared" si="25"/>
        <v>2.7709999999999999E-2</v>
      </c>
      <c r="AU235" s="104">
        <f t="shared" si="25"/>
        <v>2.8000000000000001E-2</v>
      </c>
      <c r="AV235" s="104">
        <f t="shared" si="25"/>
        <v>2.8289999999999999E-2</v>
      </c>
      <c r="AW235" s="104">
        <f t="shared" si="25"/>
        <v>2.8580000000000001E-2</v>
      </c>
      <c r="AX235" s="104">
        <f t="shared" si="25"/>
        <v>2.8879999999999999E-2</v>
      </c>
      <c r="AY235" s="104">
        <f t="shared" si="25"/>
        <v>2.9180000000000001E-2</v>
      </c>
      <c r="AZ235" s="104">
        <f t="shared" si="25"/>
        <v>2.9479999999999999E-2</v>
      </c>
      <c r="BA235" s="104">
        <f t="shared" si="25"/>
        <v>2.9790000000000001E-2</v>
      </c>
      <c r="BB235" s="104">
        <f t="shared" si="25"/>
        <v>3.0099999999999998E-2</v>
      </c>
    </row>
    <row r="236" spans="2:54" x14ac:dyDescent="0.2">
      <c r="B236" s="45" t="s">
        <v>157</v>
      </c>
      <c r="C236" s="104">
        <f>0.11*0.01</f>
        <v>1.1000000000000001E-3</v>
      </c>
      <c r="D236" s="104">
        <f t="shared" ref="D236:S240" si="26">ROUND(C236*(1+(0.8*D$23)),5)</f>
        <v>1.1199999999999999E-3</v>
      </c>
      <c r="E236" s="104">
        <f t="shared" si="26"/>
        <v>1.15E-3</v>
      </c>
      <c r="F236" s="104">
        <f t="shared" si="26"/>
        <v>1.17E-3</v>
      </c>
      <c r="G236" s="104">
        <f t="shared" si="26"/>
        <v>1.1900000000000001E-3</v>
      </c>
      <c r="H236" s="104">
        <f t="shared" si="26"/>
        <v>1.2099999999999999E-3</v>
      </c>
      <c r="I236" s="104">
        <f t="shared" si="26"/>
        <v>1.23E-3</v>
      </c>
      <c r="J236" s="104">
        <f t="shared" si="26"/>
        <v>1.25E-3</v>
      </c>
      <c r="K236" s="104">
        <f t="shared" si="26"/>
        <v>1.2700000000000001E-3</v>
      </c>
      <c r="L236" s="104">
        <f t="shared" si="26"/>
        <v>1.2899999999999999E-3</v>
      </c>
      <c r="M236" s="104">
        <f t="shared" si="26"/>
        <v>1.31E-3</v>
      </c>
      <c r="N236" s="104">
        <f t="shared" si="26"/>
        <v>1.33E-3</v>
      </c>
      <c r="O236" s="104">
        <f t="shared" si="26"/>
        <v>1.3500000000000001E-3</v>
      </c>
      <c r="P236" s="104">
        <f t="shared" si="26"/>
        <v>1.3699999999999999E-3</v>
      </c>
      <c r="Q236" s="104">
        <f t="shared" si="26"/>
        <v>1.39E-3</v>
      </c>
      <c r="R236" s="104">
        <f t="shared" si="26"/>
        <v>1.41E-3</v>
      </c>
      <c r="S236" s="104">
        <f t="shared" si="26"/>
        <v>1.4300000000000001E-3</v>
      </c>
      <c r="T236" s="104">
        <f t="shared" si="25"/>
        <v>1.4499999999999999E-3</v>
      </c>
      <c r="U236" s="104">
        <f t="shared" si="25"/>
        <v>1.47E-3</v>
      </c>
      <c r="V236" s="104">
        <f t="shared" si="25"/>
        <v>1.49E-3</v>
      </c>
      <c r="W236" s="104">
        <f t="shared" si="25"/>
        <v>1.5100000000000001E-3</v>
      </c>
      <c r="X236" s="104">
        <f t="shared" si="25"/>
        <v>1.5299999999999999E-3</v>
      </c>
      <c r="Y236" s="104">
        <f t="shared" si="25"/>
        <v>1.5499999999999999E-3</v>
      </c>
      <c r="Z236" s="104">
        <f t="shared" si="25"/>
        <v>1.57E-3</v>
      </c>
      <c r="AA236" s="104">
        <f t="shared" si="25"/>
        <v>1.5900000000000001E-3</v>
      </c>
      <c r="AB236" s="104">
        <f t="shared" si="25"/>
        <v>1.6100000000000001E-3</v>
      </c>
      <c r="AC236" s="104">
        <f t="shared" si="25"/>
        <v>1.6299999999999999E-3</v>
      </c>
      <c r="AD236" s="104">
        <f t="shared" si="25"/>
        <v>1.65E-3</v>
      </c>
      <c r="AE236" s="104">
        <f t="shared" si="25"/>
        <v>1.67E-3</v>
      </c>
      <c r="AF236" s="104">
        <f t="shared" si="25"/>
        <v>1.6900000000000001E-3</v>
      </c>
      <c r="AG236" s="104">
        <f t="shared" si="25"/>
        <v>1.7099999999999999E-3</v>
      </c>
      <c r="AH236" s="104">
        <f t="shared" si="25"/>
        <v>1.73E-3</v>
      </c>
      <c r="AI236" s="104">
        <f t="shared" si="25"/>
        <v>1.75E-3</v>
      </c>
      <c r="AJ236" s="104">
        <f t="shared" si="25"/>
        <v>1.7700000000000001E-3</v>
      </c>
      <c r="AK236" s="104">
        <f t="shared" si="25"/>
        <v>1.7899999999999999E-3</v>
      </c>
      <c r="AL236" s="104">
        <f t="shared" si="25"/>
        <v>1.81E-3</v>
      </c>
      <c r="AM236" s="104">
        <f t="shared" si="25"/>
        <v>1.83E-3</v>
      </c>
      <c r="AN236" s="104">
        <f t="shared" si="25"/>
        <v>1.8500000000000001E-3</v>
      </c>
      <c r="AO236" s="104">
        <f t="shared" si="25"/>
        <v>1.8699999999999999E-3</v>
      </c>
      <c r="AP236" s="104">
        <f t="shared" si="25"/>
        <v>1.89E-3</v>
      </c>
      <c r="AQ236" s="104">
        <f t="shared" si="25"/>
        <v>1.91E-3</v>
      </c>
      <c r="AR236" s="104">
        <f t="shared" si="25"/>
        <v>1.9300000000000001E-3</v>
      </c>
      <c r="AS236" s="104">
        <f t="shared" si="25"/>
        <v>1.9499999999999999E-3</v>
      </c>
      <c r="AT236" s="104">
        <f t="shared" si="25"/>
        <v>1.97E-3</v>
      </c>
      <c r="AU236" s="104">
        <f t="shared" si="25"/>
        <v>1.99E-3</v>
      </c>
      <c r="AV236" s="104">
        <f t="shared" si="25"/>
        <v>2.0100000000000001E-3</v>
      </c>
      <c r="AW236" s="104">
        <f t="shared" si="25"/>
        <v>2.0300000000000001E-3</v>
      </c>
      <c r="AX236" s="104">
        <f t="shared" si="25"/>
        <v>2.0500000000000002E-3</v>
      </c>
      <c r="AY236" s="104">
        <f t="shared" si="25"/>
        <v>2.0699999999999998E-3</v>
      </c>
      <c r="AZ236" s="104">
        <f t="shared" si="25"/>
        <v>2.0899999999999998E-3</v>
      </c>
      <c r="BA236" s="104">
        <f t="shared" si="25"/>
        <v>2.1099999999999999E-3</v>
      </c>
      <c r="BB236" s="104">
        <f t="shared" si="25"/>
        <v>2.1299999999999999E-3</v>
      </c>
    </row>
    <row r="237" spans="2:54" x14ac:dyDescent="0.2">
      <c r="B237" s="45" t="s">
        <v>159</v>
      </c>
      <c r="C237" s="104">
        <f>0.01*0.01</f>
        <v>1E-4</v>
      </c>
      <c r="D237" s="104">
        <f t="shared" si="26"/>
        <v>1E-4</v>
      </c>
      <c r="E237" s="104">
        <f t="shared" si="25"/>
        <v>1E-4</v>
      </c>
      <c r="F237" s="104">
        <f t="shared" si="25"/>
        <v>1E-4</v>
      </c>
      <c r="G237" s="104">
        <f t="shared" si="25"/>
        <v>1E-4</v>
      </c>
      <c r="H237" s="104">
        <f t="shared" si="25"/>
        <v>1E-4</v>
      </c>
      <c r="I237" s="104">
        <f t="shared" si="25"/>
        <v>1E-4</v>
      </c>
      <c r="J237" s="104">
        <f t="shared" si="25"/>
        <v>1E-4</v>
      </c>
      <c r="K237" s="104">
        <f t="shared" si="25"/>
        <v>1E-4</v>
      </c>
      <c r="L237" s="104">
        <f t="shared" si="25"/>
        <v>1E-4</v>
      </c>
      <c r="M237" s="104">
        <f t="shared" si="25"/>
        <v>1E-4</v>
      </c>
      <c r="N237" s="104">
        <f t="shared" si="25"/>
        <v>1E-4</v>
      </c>
      <c r="O237" s="104">
        <f t="shared" si="25"/>
        <v>1E-4</v>
      </c>
      <c r="P237" s="104">
        <f t="shared" si="25"/>
        <v>1E-4</v>
      </c>
      <c r="Q237" s="104">
        <f t="shared" si="25"/>
        <v>1E-4</v>
      </c>
      <c r="R237" s="104">
        <f t="shared" si="25"/>
        <v>1E-4</v>
      </c>
      <c r="S237" s="104">
        <f t="shared" si="25"/>
        <v>1E-4</v>
      </c>
      <c r="T237" s="104">
        <f t="shared" si="25"/>
        <v>1E-4</v>
      </c>
      <c r="U237" s="104">
        <f t="shared" si="25"/>
        <v>1E-4</v>
      </c>
      <c r="V237" s="104">
        <f t="shared" si="25"/>
        <v>1E-4</v>
      </c>
      <c r="W237" s="104">
        <f t="shared" si="25"/>
        <v>1E-4</v>
      </c>
      <c r="X237" s="104">
        <f t="shared" si="25"/>
        <v>1E-4</v>
      </c>
      <c r="Y237" s="104">
        <f t="shared" si="25"/>
        <v>1E-4</v>
      </c>
      <c r="Z237" s="104">
        <f t="shared" si="25"/>
        <v>1E-4</v>
      </c>
      <c r="AA237" s="104">
        <f t="shared" si="25"/>
        <v>1E-4</v>
      </c>
      <c r="AB237" s="104">
        <f t="shared" si="25"/>
        <v>1E-4</v>
      </c>
      <c r="AC237" s="104">
        <f t="shared" si="25"/>
        <v>1E-4</v>
      </c>
      <c r="AD237" s="104">
        <f t="shared" si="25"/>
        <v>1E-4</v>
      </c>
      <c r="AE237" s="104">
        <f t="shared" si="25"/>
        <v>1E-4</v>
      </c>
      <c r="AF237" s="104">
        <f t="shared" si="25"/>
        <v>1E-4</v>
      </c>
      <c r="AG237" s="104">
        <f t="shared" si="25"/>
        <v>1E-4</v>
      </c>
      <c r="AH237" s="104">
        <f t="shared" si="25"/>
        <v>1E-4</v>
      </c>
      <c r="AI237" s="104">
        <f t="shared" si="25"/>
        <v>1E-4</v>
      </c>
      <c r="AJ237" s="104">
        <f t="shared" si="25"/>
        <v>1E-4</v>
      </c>
      <c r="AK237" s="104">
        <f t="shared" si="25"/>
        <v>1E-4</v>
      </c>
      <c r="AL237" s="104">
        <f t="shared" si="25"/>
        <v>1E-4</v>
      </c>
      <c r="AM237" s="104">
        <f t="shared" si="25"/>
        <v>1E-4</v>
      </c>
      <c r="AN237" s="104">
        <f t="shared" si="25"/>
        <v>1E-4</v>
      </c>
      <c r="AO237" s="104">
        <f t="shared" si="25"/>
        <v>1E-4</v>
      </c>
      <c r="AP237" s="104">
        <f t="shared" si="25"/>
        <v>1E-4</v>
      </c>
      <c r="AQ237" s="104">
        <f t="shared" si="25"/>
        <v>1E-4</v>
      </c>
      <c r="AR237" s="104">
        <f t="shared" si="25"/>
        <v>1E-4</v>
      </c>
      <c r="AS237" s="104">
        <f t="shared" si="25"/>
        <v>1E-4</v>
      </c>
      <c r="AT237" s="104">
        <f t="shared" si="25"/>
        <v>1E-4</v>
      </c>
      <c r="AU237" s="104">
        <f t="shared" si="25"/>
        <v>1E-4</v>
      </c>
      <c r="AV237" s="104">
        <f t="shared" si="25"/>
        <v>1E-4</v>
      </c>
      <c r="AW237" s="104">
        <f t="shared" si="25"/>
        <v>1E-4</v>
      </c>
      <c r="AX237" s="104">
        <f t="shared" si="25"/>
        <v>1E-4</v>
      </c>
      <c r="AY237" s="104">
        <f t="shared" si="25"/>
        <v>1E-4</v>
      </c>
      <c r="AZ237" s="104">
        <f t="shared" si="25"/>
        <v>1E-4</v>
      </c>
      <c r="BA237" s="104">
        <f t="shared" si="25"/>
        <v>1E-4</v>
      </c>
      <c r="BB237" s="104">
        <f t="shared" si="25"/>
        <v>1E-4</v>
      </c>
    </row>
    <row r="238" spans="2:54" x14ac:dyDescent="0.2">
      <c r="B238" s="45" t="s">
        <v>156</v>
      </c>
      <c r="C238" s="104">
        <f>15.23*0.01</f>
        <v>0.15230000000000002</v>
      </c>
      <c r="D238" s="104">
        <f t="shared" si="26"/>
        <v>0.15559000000000001</v>
      </c>
      <c r="E238" s="104">
        <f t="shared" ref="E238:BB240" si="27">ROUND(D238*(1+(0.8*E$23)),5)</f>
        <v>0.15908</v>
      </c>
      <c r="F238" s="104">
        <f t="shared" si="27"/>
        <v>0.16175</v>
      </c>
      <c r="G238" s="104">
        <f t="shared" si="27"/>
        <v>0.16395000000000001</v>
      </c>
      <c r="H238" s="104">
        <f t="shared" si="27"/>
        <v>0.16631000000000001</v>
      </c>
      <c r="I238" s="104">
        <f t="shared" si="27"/>
        <v>0.16844000000000001</v>
      </c>
      <c r="J238" s="104">
        <f t="shared" si="27"/>
        <v>0.1706</v>
      </c>
      <c r="K238" s="104">
        <f t="shared" si="27"/>
        <v>0.17265</v>
      </c>
      <c r="L238" s="104">
        <f t="shared" si="27"/>
        <v>0.17471999999999999</v>
      </c>
      <c r="M238" s="104">
        <f t="shared" si="27"/>
        <v>0.17682</v>
      </c>
      <c r="N238" s="104">
        <f t="shared" si="27"/>
        <v>0.17893999999999999</v>
      </c>
      <c r="O238" s="104">
        <f t="shared" si="27"/>
        <v>0.18109</v>
      </c>
      <c r="P238" s="104">
        <f t="shared" si="27"/>
        <v>0.18326000000000001</v>
      </c>
      <c r="Q238" s="104">
        <f t="shared" si="27"/>
        <v>0.18546000000000001</v>
      </c>
      <c r="R238" s="104">
        <f t="shared" si="27"/>
        <v>0.18769</v>
      </c>
      <c r="S238" s="104">
        <f t="shared" si="27"/>
        <v>0.18994</v>
      </c>
      <c r="T238" s="104">
        <f t="shared" si="27"/>
        <v>0.19222</v>
      </c>
      <c r="U238" s="104">
        <f t="shared" si="27"/>
        <v>0.19422</v>
      </c>
      <c r="V238" s="104">
        <f t="shared" si="27"/>
        <v>0.19624</v>
      </c>
      <c r="W238" s="104">
        <f t="shared" si="27"/>
        <v>0.19828000000000001</v>
      </c>
      <c r="X238" s="104">
        <f t="shared" si="27"/>
        <v>0.20033999999999999</v>
      </c>
      <c r="Y238" s="104">
        <f t="shared" si="27"/>
        <v>0.20241999999999999</v>
      </c>
      <c r="Z238" s="104">
        <f t="shared" si="27"/>
        <v>0.20452999999999999</v>
      </c>
      <c r="AA238" s="104">
        <f t="shared" si="27"/>
        <v>0.20666000000000001</v>
      </c>
      <c r="AB238" s="104">
        <f t="shared" si="27"/>
        <v>0.20881</v>
      </c>
      <c r="AC238" s="104">
        <f t="shared" si="27"/>
        <v>0.21098</v>
      </c>
      <c r="AD238" s="104">
        <f t="shared" si="27"/>
        <v>0.21317</v>
      </c>
      <c r="AE238" s="104">
        <f t="shared" si="27"/>
        <v>0.21521999999999999</v>
      </c>
      <c r="AF238" s="104">
        <f t="shared" si="27"/>
        <v>0.21729000000000001</v>
      </c>
      <c r="AG238" s="104">
        <f t="shared" si="27"/>
        <v>0.21937999999999999</v>
      </c>
      <c r="AH238" s="104">
        <f t="shared" si="27"/>
        <v>0.22148999999999999</v>
      </c>
      <c r="AI238" s="104">
        <f t="shared" si="27"/>
        <v>0.22362000000000001</v>
      </c>
      <c r="AJ238" s="104">
        <f t="shared" si="27"/>
        <v>0.22577</v>
      </c>
      <c r="AK238" s="104">
        <f t="shared" si="27"/>
        <v>0.22794</v>
      </c>
      <c r="AL238" s="104">
        <f t="shared" si="27"/>
        <v>0.23013</v>
      </c>
      <c r="AM238" s="104">
        <f t="shared" si="27"/>
        <v>0.23233999999999999</v>
      </c>
      <c r="AN238" s="104">
        <f t="shared" si="27"/>
        <v>0.23457</v>
      </c>
      <c r="AO238" s="104">
        <f t="shared" si="27"/>
        <v>0.23701</v>
      </c>
      <c r="AP238" s="104">
        <f t="shared" si="27"/>
        <v>0.23946999999999999</v>
      </c>
      <c r="AQ238" s="104">
        <f t="shared" si="27"/>
        <v>0.24196000000000001</v>
      </c>
      <c r="AR238" s="104">
        <f t="shared" si="27"/>
        <v>0.24448</v>
      </c>
      <c r="AS238" s="104">
        <f t="shared" si="27"/>
        <v>0.24701999999999999</v>
      </c>
      <c r="AT238" s="104">
        <f t="shared" si="27"/>
        <v>0.24959000000000001</v>
      </c>
      <c r="AU238" s="104">
        <f t="shared" si="27"/>
        <v>0.25219000000000003</v>
      </c>
      <c r="AV238" s="104">
        <f t="shared" si="27"/>
        <v>0.25480999999999998</v>
      </c>
      <c r="AW238" s="104">
        <f t="shared" si="27"/>
        <v>0.25746000000000002</v>
      </c>
      <c r="AX238" s="104">
        <f t="shared" si="27"/>
        <v>0.26013999999999998</v>
      </c>
      <c r="AY238" s="104">
        <f t="shared" si="27"/>
        <v>0.26284999999999997</v>
      </c>
      <c r="AZ238" s="104">
        <f t="shared" si="27"/>
        <v>0.26557999999999998</v>
      </c>
      <c r="BA238" s="104">
        <f t="shared" si="27"/>
        <v>0.26834000000000002</v>
      </c>
      <c r="BB238" s="104">
        <f t="shared" si="27"/>
        <v>0.27112999999999998</v>
      </c>
    </row>
    <row r="239" spans="2:54" x14ac:dyDescent="0.2">
      <c r="B239" s="45" t="s">
        <v>158</v>
      </c>
      <c r="C239" s="104">
        <f>0.95*0.01</f>
        <v>9.4999999999999998E-3</v>
      </c>
      <c r="D239" s="104">
        <f t="shared" si="26"/>
        <v>9.7099999999999999E-3</v>
      </c>
      <c r="E239" s="104">
        <f t="shared" si="27"/>
        <v>9.9299999999999996E-3</v>
      </c>
      <c r="F239" s="104">
        <f t="shared" si="27"/>
        <v>1.01E-2</v>
      </c>
      <c r="G239" s="104">
        <f t="shared" si="27"/>
        <v>1.0240000000000001E-2</v>
      </c>
      <c r="H239" s="104">
        <f t="shared" si="27"/>
        <v>1.039E-2</v>
      </c>
      <c r="I239" s="104">
        <f t="shared" si="27"/>
        <v>1.052E-2</v>
      </c>
      <c r="J239" s="104">
        <f t="shared" si="27"/>
        <v>1.065E-2</v>
      </c>
      <c r="K239" s="104">
        <f t="shared" si="27"/>
        <v>1.078E-2</v>
      </c>
      <c r="L239" s="104">
        <f t="shared" si="27"/>
        <v>1.091E-2</v>
      </c>
      <c r="M239" s="104">
        <f t="shared" si="27"/>
        <v>1.1039999999999999E-2</v>
      </c>
      <c r="N239" s="104">
        <f t="shared" si="27"/>
        <v>1.1169999999999999E-2</v>
      </c>
      <c r="O239" s="104">
        <f t="shared" si="27"/>
        <v>1.1299999999999999E-2</v>
      </c>
      <c r="P239" s="104">
        <f t="shared" si="27"/>
        <v>1.1440000000000001E-2</v>
      </c>
      <c r="Q239" s="104">
        <f t="shared" si="27"/>
        <v>1.158E-2</v>
      </c>
      <c r="R239" s="104">
        <f t="shared" si="27"/>
        <v>1.172E-2</v>
      </c>
      <c r="S239" s="104">
        <f t="shared" si="27"/>
        <v>1.1860000000000001E-2</v>
      </c>
      <c r="T239" s="104">
        <f t="shared" si="27"/>
        <v>1.2E-2</v>
      </c>
      <c r="U239" s="104">
        <f t="shared" si="27"/>
        <v>1.2120000000000001E-2</v>
      </c>
      <c r="V239" s="104">
        <f t="shared" si="27"/>
        <v>1.225E-2</v>
      </c>
      <c r="W239" s="104">
        <f t="shared" si="27"/>
        <v>1.238E-2</v>
      </c>
      <c r="X239" s="104">
        <f t="shared" si="27"/>
        <v>1.251E-2</v>
      </c>
      <c r="Y239" s="104">
        <f t="shared" si="27"/>
        <v>1.264E-2</v>
      </c>
      <c r="Z239" s="104">
        <f t="shared" si="27"/>
        <v>1.277E-2</v>
      </c>
      <c r="AA239" s="104">
        <f t="shared" si="27"/>
        <v>1.29E-2</v>
      </c>
      <c r="AB239" s="104">
        <f t="shared" si="27"/>
        <v>1.303E-2</v>
      </c>
      <c r="AC239" s="104">
        <f t="shared" si="27"/>
        <v>1.3169999999999999E-2</v>
      </c>
      <c r="AD239" s="104">
        <f t="shared" si="27"/>
        <v>1.3310000000000001E-2</v>
      </c>
      <c r="AE239" s="104">
        <f t="shared" si="27"/>
        <v>1.3440000000000001E-2</v>
      </c>
      <c r="AF239" s="104">
        <f t="shared" si="27"/>
        <v>1.357E-2</v>
      </c>
      <c r="AG239" s="104">
        <f t="shared" si="27"/>
        <v>1.37E-2</v>
      </c>
      <c r="AH239" s="104">
        <f t="shared" si="27"/>
        <v>1.383E-2</v>
      </c>
      <c r="AI239" s="104">
        <f t="shared" si="27"/>
        <v>1.396E-2</v>
      </c>
      <c r="AJ239" s="104">
        <f t="shared" si="27"/>
        <v>1.409E-2</v>
      </c>
      <c r="AK239" s="104">
        <f t="shared" si="27"/>
        <v>1.423E-2</v>
      </c>
      <c r="AL239" s="104">
        <f t="shared" si="27"/>
        <v>1.4370000000000001E-2</v>
      </c>
      <c r="AM239" s="104">
        <f t="shared" si="27"/>
        <v>1.451E-2</v>
      </c>
      <c r="AN239" s="104">
        <f t="shared" si="27"/>
        <v>1.465E-2</v>
      </c>
      <c r="AO239" s="104">
        <f t="shared" si="27"/>
        <v>1.4800000000000001E-2</v>
      </c>
      <c r="AP239" s="104">
        <f t="shared" si="27"/>
        <v>1.495E-2</v>
      </c>
      <c r="AQ239" s="104">
        <f t="shared" si="27"/>
        <v>1.511E-2</v>
      </c>
      <c r="AR239" s="104">
        <f t="shared" si="27"/>
        <v>1.5270000000000001E-2</v>
      </c>
      <c r="AS239" s="104">
        <f t="shared" si="27"/>
        <v>1.5429999999999999E-2</v>
      </c>
      <c r="AT239" s="104">
        <f t="shared" si="27"/>
        <v>1.559E-2</v>
      </c>
      <c r="AU239" s="104">
        <f t="shared" si="27"/>
        <v>1.575E-2</v>
      </c>
      <c r="AV239" s="104">
        <f t="shared" si="27"/>
        <v>1.5910000000000001E-2</v>
      </c>
      <c r="AW239" s="104">
        <f t="shared" si="27"/>
        <v>1.6080000000000001E-2</v>
      </c>
      <c r="AX239" s="104">
        <f t="shared" si="27"/>
        <v>1.6250000000000001E-2</v>
      </c>
      <c r="AY239" s="104">
        <f t="shared" si="27"/>
        <v>1.6420000000000001E-2</v>
      </c>
      <c r="AZ239" s="104">
        <f t="shared" si="27"/>
        <v>1.6590000000000001E-2</v>
      </c>
      <c r="BA239" s="104">
        <f t="shared" si="27"/>
        <v>1.6760000000000001E-2</v>
      </c>
      <c r="BB239" s="104">
        <f t="shared" si="27"/>
        <v>1.6930000000000001E-2</v>
      </c>
    </row>
    <row r="240" spans="2:54" x14ac:dyDescent="0.2">
      <c r="B240" s="45" t="s">
        <v>160</v>
      </c>
      <c r="C240" s="104">
        <f>0.12*0.01</f>
        <v>1.1999999999999999E-3</v>
      </c>
      <c r="D240" s="104">
        <f t="shared" si="26"/>
        <v>1.23E-3</v>
      </c>
      <c r="E240" s="104">
        <f t="shared" si="27"/>
        <v>1.2600000000000001E-3</v>
      </c>
      <c r="F240" s="104">
        <f t="shared" si="27"/>
        <v>1.2800000000000001E-3</v>
      </c>
      <c r="G240" s="104">
        <f t="shared" si="27"/>
        <v>1.2999999999999999E-3</v>
      </c>
      <c r="H240" s="104">
        <f t="shared" si="27"/>
        <v>1.32E-3</v>
      </c>
      <c r="I240" s="104">
        <f t="shared" si="27"/>
        <v>1.34E-3</v>
      </c>
      <c r="J240" s="104">
        <f t="shared" si="27"/>
        <v>1.3600000000000001E-3</v>
      </c>
      <c r="K240" s="104">
        <f t="shared" si="27"/>
        <v>1.3799999999999999E-3</v>
      </c>
      <c r="L240" s="104">
        <f t="shared" si="27"/>
        <v>1.4E-3</v>
      </c>
      <c r="M240" s="104">
        <f t="shared" si="27"/>
        <v>1.42E-3</v>
      </c>
      <c r="N240" s="104">
        <f t="shared" si="27"/>
        <v>1.4400000000000001E-3</v>
      </c>
      <c r="O240" s="104">
        <f t="shared" si="27"/>
        <v>1.4599999999999999E-3</v>
      </c>
      <c r="P240" s="104">
        <f t="shared" si="27"/>
        <v>1.48E-3</v>
      </c>
      <c r="Q240" s="104">
        <f t="shared" si="27"/>
        <v>1.5E-3</v>
      </c>
      <c r="R240" s="104">
        <f t="shared" si="27"/>
        <v>1.5200000000000001E-3</v>
      </c>
      <c r="S240" s="104">
        <f t="shared" si="27"/>
        <v>1.5399999999999999E-3</v>
      </c>
      <c r="T240" s="104">
        <f t="shared" si="27"/>
        <v>1.56E-3</v>
      </c>
      <c r="U240" s="104">
        <f t="shared" si="27"/>
        <v>1.58E-3</v>
      </c>
      <c r="V240" s="104">
        <f t="shared" si="27"/>
        <v>1.6000000000000001E-3</v>
      </c>
      <c r="W240" s="104">
        <f t="shared" si="27"/>
        <v>1.6199999999999999E-3</v>
      </c>
      <c r="X240" s="104">
        <f t="shared" si="27"/>
        <v>1.64E-3</v>
      </c>
      <c r="Y240" s="104">
        <f t="shared" si="27"/>
        <v>1.66E-3</v>
      </c>
      <c r="Z240" s="104">
        <f t="shared" si="27"/>
        <v>1.6800000000000001E-3</v>
      </c>
      <c r="AA240" s="104">
        <f t="shared" si="27"/>
        <v>1.6999999999999999E-3</v>
      </c>
      <c r="AB240" s="104">
        <f t="shared" si="27"/>
        <v>1.72E-3</v>
      </c>
      <c r="AC240" s="104">
        <f t="shared" si="27"/>
        <v>1.74E-3</v>
      </c>
      <c r="AD240" s="104">
        <f t="shared" si="27"/>
        <v>1.7600000000000001E-3</v>
      </c>
      <c r="AE240" s="104">
        <f t="shared" si="27"/>
        <v>1.7799999999999999E-3</v>
      </c>
      <c r="AF240" s="104">
        <f t="shared" si="27"/>
        <v>1.8E-3</v>
      </c>
      <c r="AG240" s="104">
        <f t="shared" si="27"/>
        <v>1.82E-3</v>
      </c>
      <c r="AH240" s="104">
        <f t="shared" si="27"/>
        <v>1.8400000000000001E-3</v>
      </c>
      <c r="AI240" s="104">
        <f t="shared" si="27"/>
        <v>1.8600000000000001E-3</v>
      </c>
      <c r="AJ240" s="104">
        <f t="shared" si="27"/>
        <v>1.8799999999999999E-3</v>
      </c>
      <c r="AK240" s="104">
        <f t="shared" si="27"/>
        <v>1.9E-3</v>
      </c>
      <c r="AL240" s="104">
        <f t="shared" si="27"/>
        <v>1.92E-3</v>
      </c>
      <c r="AM240" s="104">
        <f t="shared" si="27"/>
        <v>1.9400000000000001E-3</v>
      </c>
      <c r="AN240" s="104">
        <f t="shared" si="27"/>
        <v>1.9599999999999999E-3</v>
      </c>
      <c r="AO240" s="104">
        <f t="shared" si="27"/>
        <v>1.98E-3</v>
      </c>
      <c r="AP240" s="104">
        <f t="shared" si="27"/>
        <v>2E-3</v>
      </c>
      <c r="AQ240" s="104">
        <f t="shared" si="27"/>
        <v>2.0200000000000001E-3</v>
      </c>
      <c r="AR240" s="104">
        <f t="shared" si="27"/>
        <v>2.0400000000000001E-3</v>
      </c>
      <c r="AS240" s="104">
        <f t="shared" si="27"/>
        <v>2.0600000000000002E-3</v>
      </c>
      <c r="AT240" s="104">
        <f t="shared" si="27"/>
        <v>2.0799999999999998E-3</v>
      </c>
      <c r="AU240" s="104">
        <f t="shared" si="27"/>
        <v>2.0999999999999999E-3</v>
      </c>
      <c r="AV240" s="104">
        <f t="shared" si="27"/>
        <v>2.1199999999999999E-3</v>
      </c>
      <c r="AW240" s="104">
        <f t="shared" si="27"/>
        <v>2.14E-3</v>
      </c>
      <c r="AX240" s="104">
        <f t="shared" si="27"/>
        <v>2.16E-3</v>
      </c>
      <c r="AY240" s="104">
        <f t="shared" si="27"/>
        <v>2.1800000000000001E-3</v>
      </c>
      <c r="AZ240" s="104">
        <f t="shared" si="27"/>
        <v>2.2000000000000001E-3</v>
      </c>
      <c r="BA240" s="104">
        <f t="shared" si="27"/>
        <v>2.2200000000000002E-3</v>
      </c>
      <c r="BB240" s="104">
        <f t="shared" si="27"/>
        <v>2.2399999999999998E-3</v>
      </c>
    </row>
    <row r="241" spans="2:2" x14ac:dyDescent="0.2">
      <c r="B241" s="1" t="s">
        <v>472</v>
      </c>
    </row>
  </sheetData>
  <sheetProtection algorithmName="SHA-512" hashValue="FHnX+vwjs0muYguhjbGOsLYV/wVtR1BaSQteh7hkyrIGzgjcgAo+K/oifBA1wqjmGgDAchtk/cNsNHjtAh1qFw==" saltValue="3mF2GIddjuuFpQm6omJHuQ==" spinCount="100000" sheet="1" objects="1" scenarios="1"/>
  <mergeCells count="22">
    <mergeCell ref="B8:C8"/>
    <mergeCell ref="B39:C39"/>
    <mergeCell ref="B22:B23"/>
    <mergeCell ref="B115:E115"/>
    <mergeCell ref="B103:E103"/>
    <mergeCell ref="B80:G80"/>
    <mergeCell ref="B26:B28"/>
    <mergeCell ref="C26:C28"/>
    <mergeCell ref="D26:I26"/>
    <mergeCell ref="C66:F66"/>
    <mergeCell ref="G66:L66"/>
    <mergeCell ref="B220:G220"/>
    <mergeCell ref="B227:E227"/>
    <mergeCell ref="B110:D110"/>
    <mergeCell ref="C73:C75"/>
    <mergeCell ref="D73:I73"/>
    <mergeCell ref="B73:B74"/>
    <mergeCell ref="B150:C150"/>
    <mergeCell ref="C171:H171"/>
    <mergeCell ref="B185:D185"/>
    <mergeCell ref="B193:E193"/>
    <mergeCell ref="B203:E203"/>
  </mergeCells>
  <phoneticPr fontId="3" type="noConversion"/>
  <pageMargins left="0.19685039370078741" right="0.19685039370078741" top="0.98425196850393704" bottom="0.78740157480314965" header="0.51181102362204722" footer="0.51181102362204722"/>
  <pageSetup paperSize="9" scale="75" orientation="landscape" r:id="rId1"/>
  <headerFooter alignWithMargins="0">
    <oddHeader>&amp;LPríloha 7: Štandardné tabuľky - Cesty
&amp;"Arial,Tučné"&amp;12Parametre</oddHeader>
    <oddFooter>&amp;CStrana &amp;P z &amp;N</oddFooter>
  </headerFooter>
  <ignoredErrors>
    <ignoredError sqref="E64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2:AL60"/>
  <sheetViews>
    <sheetView zoomScale="90" zoomScaleNormal="90" workbookViewId="0"/>
  </sheetViews>
  <sheetFormatPr defaultColWidth="9.140625" defaultRowHeight="11.25" x14ac:dyDescent="0.2"/>
  <cols>
    <col min="1" max="1" width="2.7109375" style="2" customWidth="1"/>
    <col min="2" max="2" width="44.5703125" style="2" bestFit="1" customWidth="1"/>
    <col min="3" max="3" width="10.85546875" style="2" bestFit="1" customWidth="1"/>
    <col min="4" max="4" width="8.85546875" style="2" bestFit="1" customWidth="1"/>
    <col min="5" max="5" width="9.28515625" style="2" bestFit="1" customWidth="1"/>
    <col min="6" max="6" width="10.28515625" style="2" customWidth="1"/>
    <col min="7" max="16" width="9.28515625" style="2" bestFit="1" customWidth="1"/>
    <col min="17" max="38" width="10.28515625" style="2" bestFit="1" customWidth="1"/>
    <col min="39" max="44" width="9.140625" style="2" customWidth="1"/>
    <col min="45" max="16384" width="9.140625" style="2"/>
  </cols>
  <sheetData>
    <row r="2" spans="2:38" x14ac:dyDescent="0.2">
      <c r="B2" s="15" t="s">
        <v>24</v>
      </c>
      <c r="C2" s="15"/>
      <c r="D2" s="3" t="s">
        <v>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x14ac:dyDescent="0.2">
      <c r="B3" s="4"/>
      <c r="C3" s="18" t="s">
        <v>9</v>
      </c>
      <c r="D3" s="5">
        <v>1</v>
      </c>
      <c r="E3" s="5">
        <v>2</v>
      </c>
      <c r="F3" s="5">
        <v>3</v>
      </c>
      <c r="G3" s="5">
        <v>4</v>
      </c>
      <c r="H3" s="5">
        <v>5</v>
      </c>
      <c r="I3" s="5">
        <v>6</v>
      </c>
      <c r="J3" s="5">
        <v>7</v>
      </c>
      <c r="K3" s="5">
        <v>8</v>
      </c>
      <c r="L3" s="5">
        <v>9</v>
      </c>
      <c r="M3" s="5">
        <v>10</v>
      </c>
      <c r="N3" s="5">
        <v>11</v>
      </c>
      <c r="O3" s="5">
        <v>12</v>
      </c>
      <c r="P3" s="5">
        <v>13</v>
      </c>
      <c r="Q3" s="5">
        <v>14</v>
      </c>
      <c r="R3" s="5">
        <v>15</v>
      </c>
      <c r="S3" s="5">
        <v>16</v>
      </c>
      <c r="T3" s="5">
        <v>17</v>
      </c>
      <c r="U3" s="5">
        <v>18</v>
      </c>
      <c r="V3" s="5">
        <v>19</v>
      </c>
      <c r="W3" s="5">
        <v>20</v>
      </c>
      <c r="X3" s="5">
        <v>21</v>
      </c>
      <c r="Y3" s="5">
        <v>22</v>
      </c>
      <c r="Z3" s="5">
        <v>23</v>
      </c>
      <c r="AA3" s="5">
        <v>24</v>
      </c>
      <c r="AB3" s="5">
        <v>25</v>
      </c>
      <c r="AC3" s="5">
        <v>26</v>
      </c>
      <c r="AD3" s="5">
        <v>27</v>
      </c>
      <c r="AE3" s="5">
        <v>28</v>
      </c>
      <c r="AF3" s="5">
        <v>29</v>
      </c>
      <c r="AG3" s="5">
        <v>30</v>
      </c>
      <c r="AH3" s="5">
        <v>31</v>
      </c>
      <c r="AI3" s="5">
        <v>32</v>
      </c>
      <c r="AJ3" s="5">
        <v>33</v>
      </c>
      <c r="AK3" s="5">
        <v>34</v>
      </c>
      <c r="AL3" s="5">
        <v>35</v>
      </c>
    </row>
    <row r="4" spans="2:38" x14ac:dyDescent="0.2">
      <c r="B4" s="6" t="s">
        <v>39</v>
      </c>
      <c r="C4" s="111" t="s">
        <v>179</v>
      </c>
      <c r="D4" s="7">
        <f>Parametre!C13</f>
        <v>2025</v>
      </c>
      <c r="E4" s="7">
        <f>$D$4+D3</f>
        <v>2026</v>
      </c>
      <c r="F4" s="7">
        <f>$D$4+E3</f>
        <v>2027</v>
      </c>
      <c r="G4" s="7">
        <f t="shared" ref="G4:AG4" si="0">$D$4+F3</f>
        <v>2028</v>
      </c>
      <c r="H4" s="7">
        <f t="shared" si="0"/>
        <v>2029</v>
      </c>
      <c r="I4" s="7">
        <f t="shared" si="0"/>
        <v>2030</v>
      </c>
      <c r="J4" s="7">
        <f t="shared" si="0"/>
        <v>2031</v>
      </c>
      <c r="K4" s="7">
        <f t="shared" si="0"/>
        <v>2032</v>
      </c>
      <c r="L4" s="7">
        <f t="shared" si="0"/>
        <v>2033</v>
      </c>
      <c r="M4" s="7">
        <f t="shared" si="0"/>
        <v>2034</v>
      </c>
      <c r="N4" s="7">
        <f t="shared" si="0"/>
        <v>2035</v>
      </c>
      <c r="O4" s="7">
        <f t="shared" si="0"/>
        <v>2036</v>
      </c>
      <c r="P4" s="7">
        <f t="shared" si="0"/>
        <v>2037</v>
      </c>
      <c r="Q4" s="7">
        <f t="shared" si="0"/>
        <v>2038</v>
      </c>
      <c r="R4" s="7">
        <f t="shared" si="0"/>
        <v>2039</v>
      </c>
      <c r="S4" s="7">
        <f t="shared" si="0"/>
        <v>2040</v>
      </c>
      <c r="T4" s="7">
        <f t="shared" si="0"/>
        <v>2041</v>
      </c>
      <c r="U4" s="7">
        <f t="shared" si="0"/>
        <v>2042</v>
      </c>
      <c r="V4" s="7">
        <f t="shared" si="0"/>
        <v>2043</v>
      </c>
      <c r="W4" s="7">
        <f t="shared" si="0"/>
        <v>2044</v>
      </c>
      <c r="X4" s="7">
        <f t="shared" si="0"/>
        <v>2045</v>
      </c>
      <c r="Y4" s="7">
        <f t="shared" si="0"/>
        <v>2046</v>
      </c>
      <c r="Z4" s="7">
        <f t="shared" si="0"/>
        <v>2047</v>
      </c>
      <c r="AA4" s="7">
        <f t="shared" si="0"/>
        <v>2048</v>
      </c>
      <c r="AB4" s="7">
        <f t="shared" si="0"/>
        <v>2049</v>
      </c>
      <c r="AC4" s="7">
        <f t="shared" si="0"/>
        <v>2050</v>
      </c>
      <c r="AD4" s="7">
        <f t="shared" si="0"/>
        <v>2051</v>
      </c>
      <c r="AE4" s="7">
        <f t="shared" si="0"/>
        <v>2052</v>
      </c>
      <c r="AF4" s="7">
        <f t="shared" si="0"/>
        <v>2053</v>
      </c>
      <c r="AG4" s="7">
        <f t="shared" si="0"/>
        <v>2054</v>
      </c>
      <c r="AH4" s="7">
        <f t="shared" ref="AH4" si="1">$D$4+AG3</f>
        <v>2055</v>
      </c>
      <c r="AI4" s="7">
        <f t="shared" ref="AI4" si="2">$D$4+AH3</f>
        <v>2056</v>
      </c>
      <c r="AJ4" s="7">
        <f t="shared" ref="AJ4" si="3">$D$4+AI3</f>
        <v>2057</v>
      </c>
      <c r="AK4" s="7">
        <f t="shared" ref="AK4" si="4">$D$4+AJ3</f>
        <v>2058</v>
      </c>
      <c r="AL4" s="7">
        <f t="shared" ref="AL4" si="5">$D$4+AK3</f>
        <v>2059</v>
      </c>
    </row>
    <row r="5" spans="2:38" x14ac:dyDescent="0.2">
      <c r="B5" s="3" t="s">
        <v>58</v>
      </c>
      <c r="C5" s="223">
        <f>D5+NPV(Parametre!$C$9,'06 Finančná analýza'!E5:I5)</f>
        <v>95059171.597633138</v>
      </c>
      <c r="D5" s="117">
        <f>'01 Investičné výdavky'!D12</f>
        <v>0</v>
      </c>
      <c r="E5" s="117">
        <f>'01 Investičné výdavky'!E12</f>
        <v>20400000</v>
      </c>
      <c r="F5" s="117">
        <f>'01 Investičné výdavky'!F12</f>
        <v>81600000</v>
      </c>
      <c r="G5" s="117">
        <f>'01 Investičné výdavky'!G12</f>
        <v>0</v>
      </c>
      <c r="H5" s="117">
        <f>'01 Investičné výdavky'!H12</f>
        <v>0</v>
      </c>
      <c r="I5" s="117">
        <f>'01 Investičné výdavky'!I12</f>
        <v>0</v>
      </c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</row>
    <row r="6" spans="2:38" x14ac:dyDescent="0.2">
      <c r="B6" s="3" t="s">
        <v>57</v>
      </c>
      <c r="C6" s="223">
        <f>D6+NPV(Parametre!$C$9,'06 Finančná analýza'!E6:AL6)</f>
        <v>22196278.701804329</v>
      </c>
      <c r="D6" s="117">
        <f>'03 Prevádzkové výdavky'!D32</f>
        <v>0</v>
      </c>
      <c r="E6" s="117">
        <f>'03 Prevádzkové výdavky'!E32</f>
        <v>0</v>
      </c>
      <c r="F6" s="117">
        <f>'03 Prevádzkové výdavky'!F32</f>
        <v>0</v>
      </c>
      <c r="G6" s="117">
        <f>'03 Prevádzkové výdavky'!G32</f>
        <v>948862.48957161047</v>
      </c>
      <c r="H6" s="117">
        <f>'03 Prevádzkové výdavky'!H32</f>
        <v>959194.1433417201</v>
      </c>
      <c r="I6" s="117">
        <f>'03 Prevádzkové výdavky'!I32</f>
        <v>969433.65366392955</v>
      </c>
      <c r="J6" s="117">
        <f>'03 Prevádzkové výdavky'!J32</f>
        <v>979569.34443935007</v>
      </c>
      <c r="K6" s="117">
        <f>'03 Prevádzkové výdavky'!K32</f>
        <v>989589.01253019273</v>
      </c>
      <c r="L6" s="117">
        <f>'03 Prevádzkové výdavky'!L32</f>
        <v>997708.32109582797</v>
      </c>
      <c r="M6" s="117">
        <f>'03 Prevádzkové výdavky'!M32</f>
        <v>-1538861.4957769066</v>
      </c>
      <c r="N6" s="117">
        <f>'03 Prevádzkové výdavky'!N32</f>
        <v>-1525448.003205331</v>
      </c>
      <c r="O6" s="117">
        <f>'03 Prevádzkové výdavky'!O32</f>
        <v>-1512063.8089306932</v>
      </c>
      <c r="P6" s="117">
        <f>'03 Prevádzkové výdavky'!P32</f>
        <v>-1498722.2485481743</v>
      </c>
      <c r="Q6" s="117">
        <f>'03 Prevádzkové výdavky'!Q32</f>
        <v>1064562.5819242951</v>
      </c>
      <c r="R6" s="117">
        <f>'03 Prevádzkové výdavky'!R32</f>
        <v>1077775.7921526525</v>
      </c>
      <c r="S6" s="117">
        <f>'03 Prevádzkové výdavky'!S32</f>
        <v>1090901.662217306</v>
      </c>
      <c r="T6" s="117">
        <f>'03 Prevádzkové výdavky'!T32</f>
        <v>1103923.6059144009</v>
      </c>
      <c r="U6" s="117">
        <f>'03 Prevádzkové výdavky'!U32</f>
        <v>1114798.5172334127</v>
      </c>
      <c r="V6" s="117">
        <f>'03 Prevádzkové výdavky'!V32</f>
        <v>1124765.4705314394</v>
      </c>
      <c r="W6" s="117">
        <f>'03 Prevádzkové výdavky'!W32</f>
        <v>-5240627.1039689332</v>
      </c>
      <c r="X6" s="117">
        <f>'03 Prevádzkové výdavky'!X32</f>
        <v>-5231412.4143074024</v>
      </c>
      <c r="Y6" s="117">
        <f>'03 Prevádzkové výdavky'!Y32</f>
        <v>132374.51066674106</v>
      </c>
      <c r="Z6" s="117">
        <f>'03 Prevádzkové výdavky'!Z32</f>
        <v>140696.73424813896</v>
      </c>
      <c r="AA6" s="117">
        <f>'03 Prevádzkové výdavky'!AA32</f>
        <v>6523515.3209017944</v>
      </c>
      <c r="AB6" s="117">
        <f>'03 Prevádzkové výdavky'!AB32</f>
        <v>6530789.2411906403</v>
      </c>
      <c r="AC6" s="117">
        <f>'03 Prevádzkové výdavky'!AC32</f>
        <v>1182475.2724250555</v>
      </c>
      <c r="AD6" s="117">
        <f>'03 Prevádzkové výdavky'!AD32</f>
        <v>1186107.0970089156</v>
      </c>
      <c r="AE6" s="117">
        <f>'03 Prevádzkové výdavky'!AE32</f>
        <v>1187502.0210766587</v>
      </c>
      <c r="AF6" s="117">
        <f>'03 Prevádzkové výdavky'!AF32</f>
        <v>1187827.0931713451</v>
      </c>
      <c r="AG6" s="117">
        <f>'03 Prevádzkové výdavky'!AG32</f>
        <v>-1362994.7174245045</v>
      </c>
      <c r="AH6" s="117">
        <f>'03 Prevádzkové výdavky'!AH32</f>
        <v>-1365044.749405276</v>
      </c>
      <c r="AI6" s="117">
        <f>'03 Prevádzkové výdavky'!AI32</f>
        <v>13676591.128194187</v>
      </c>
      <c r="AJ6" s="117">
        <f>'03 Prevádzkové výdavky'!AJ32</f>
        <v>13671822.282564774</v>
      </c>
      <c r="AK6" s="117">
        <f>'03 Prevádzkové výdavky'!AK32</f>
        <v>16215553.072079364</v>
      </c>
      <c r="AL6" s="117">
        <f>'03 Prevádzkové výdavky'!AL32</f>
        <v>16207682.589073341</v>
      </c>
    </row>
    <row r="7" spans="2:38" x14ac:dyDescent="0.2">
      <c r="B7" s="3" t="s">
        <v>170</v>
      </c>
      <c r="C7" s="223">
        <f>D7+NPV(Parametre!$C$9,'06 Finančná analýza'!E7:AL7)</f>
        <v>2521824.924641998</v>
      </c>
      <c r="D7" s="117">
        <f>'04 Prevádzkové príjmy'!D23</f>
        <v>0</v>
      </c>
      <c r="E7" s="117">
        <f>'04 Prevádzkové príjmy'!E23</f>
        <v>0</v>
      </c>
      <c r="F7" s="117">
        <f>'04 Prevádzkové príjmy'!F23</f>
        <v>0</v>
      </c>
      <c r="G7" s="117">
        <f>'04 Prevádzkové príjmy'!G23</f>
        <v>153791.61586476211</v>
      </c>
      <c r="H7" s="117">
        <f>'04 Prevádzkové príjmy'!H23</f>
        <v>153791.61586476211</v>
      </c>
      <c r="I7" s="117">
        <f>'04 Prevádzkové príjmy'!I23</f>
        <v>153791.61586476211</v>
      </c>
      <c r="J7" s="117">
        <f>'04 Prevádzkové príjmy'!J23</f>
        <v>153791.61586476211</v>
      </c>
      <c r="K7" s="117">
        <f>'04 Prevádzkové príjmy'!K23</f>
        <v>153791.61586476211</v>
      </c>
      <c r="L7" s="117">
        <f>'04 Prevádzkové príjmy'!L23</f>
        <v>153791.61586476211</v>
      </c>
      <c r="M7" s="117">
        <f>'04 Prevádzkové príjmy'!M23</f>
        <v>153791.61586476211</v>
      </c>
      <c r="N7" s="117">
        <f>'04 Prevádzkové príjmy'!N23</f>
        <v>153791.61586476211</v>
      </c>
      <c r="O7" s="117">
        <f>'04 Prevádzkové príjmy'!O23</f>
        <v>153791.61586476211</v>
      </c>
      <c r="P7" s="117">
        <f>'04 Prevádzkové príjmy'!P23</f>
        <v>153791.61586476211</v>
      </c>
      <c r="Q7" s="117">
        <f>'04 Prevádzkové príjmy'!Q23</f>
        <v>153791.61586476211</v>
      </c>
      <c r="R7" s="117">
        <f>'04 Prevádzkové príjmy'!R23</f>
        <v>153791.61586476211</v>
      </c>
      <c r="S7" s="117">
        <f>'04 Prevádzkové príjmy'!S23</f>
        <v>153791.61586476211</v>
      </c>
      <c r="T7" s="117">
        <f>'04 Prevádzkové príjmy'!T23</f>
        <v>153484.03263303265</v>
      </c>
      <c r="U7" s="117">
        <f>'04 Prevádzkové príjmy'!U23</f>
        <v>153177.06456776615</v>
      </c>
      <c r="V7" s="117">
        <f>'04 Prevádzkové príjmy'!V23</f>
        <v>152870.71043863054</v>
      </c>
      <c r="W7" s="117">
        <f>'04 Prevádzkové príjmy'!W23</f>
        <v>152564.96901775338</v>
      </c>
      <c r="X7" s="117">
        <f>'04 Prevádzkové príjmy'!X23</f>
        <v>152259.83907971764</v>
      </c>
      <c r="Y7" s="117">
        <f>'04 Prevádzkové príjmy'!Y23</f>
        <v>151955.31940155802</v>
      </c>
      <c r="Z7" s="117">
        <f>'04 Prevádzkové príjmy'!Z23</f>
        <v>151651.4087627558</v>
      </c>
      <c r="AA7" s="117">
        <f>'04 Prevádzkové príjmy'!AA23</f>
        <v>151348.10594523046</v>
      </c>
      <c r="AB7" s="117">
        <f>'04 Prevádzkové príjmy'!AB23</f>
        <v>151045.40973333921</v>
      </c>
      <c r="AC7" s="117">
        <f>'04 Prevádzkové príjmy'!AC23</f>
        <v>150743.31891387235</v>
      </c>
      <c r="AD7" s="117">
        <f>'04 Prevádzkové príjmy'!AD23</f>
        <v>150441.83227604488</v>
      </c>
      <c r="AE7" s="117">
        <f>'04 Prevádzkové príjmy'!AE23</f>
        <v>150140.94861149276</v>
      </c>
      <c r="AF7" s="117">
        <f>'04 Prevádzkové príjmy'!AF23</f>
        <v>149840.66671426967</v>
      </c>
      <c r="AG7" s="117">
        <f>'04 Prevádzkové príjmy'!AG23</f>
        <v>149540.98538084188</v>
      </c>
      <c r="AH7" s="117">
        <f>'04 Prevádzkové príjmy'!AH23</f>
        <v>149241.90341007989</v>
      </c>
      <c r="AI7" s="117">
        <f>'04 Prevádzkové príjmy'!AI23</f>
        <v>148943.41960325977</v>
      </c>
      <c r="AJ7" s="117">
        <f>'04 Prevádzkové príjmy'!AJ23</f>
        <v>148645.53276405297</v>
      </c>
      <c r="AK7" s="117">
        <f>'04 Prevádzkové príjmy'!AK23</f>
        <v>148348.24169852491</v>
      </c>
      <c r="AL7" s="117">
        <f>'04 Prevádzkové príjmy'!AL23</f>
        <v>148051.54521512799</v>
      </c>
    </row>
    <row r="8" spans="2:38" ht="12" thickBot="1" x14ac:dyDescent="0.25">
      <c r="B8" s="27" t="s">
        <v>16</v>
      </c>
      <c r="C8" s="224">
        <f>D8+NPV(Parametre!$C$9,'06 Finančná analýza'!E8:AL8)</f>
        <v>18996834.61522403</v>
      </c>
      <c r="D8" s="118">
        <v>0</v>
      </c>
      <c r="E8" s="118">
        <v>0</v>
      </c>
      <c r="F8" s="118">
        <v>0</v>
      </c>
      <c r="G8" s="118">
        <v>0</v>
      </c>
      <c r="H8" s="118">
        <v>0</v>
      </c>
      <c r="I8" s="118">
        <v>0</v>
      </c>
      <c r="J8" s="118">
        <v>0</v>
      </c>
      <c r="K8" s="118">
        <v>0</v>
      </c>
      <c r="L8" s="118">
        <v>0</v>
      </c>
      <c r="M8" s="118">
        <v>0</v>
      </c>
      <c r="N8" s="118">
        <v>0</v>
      </c>
      <c r="O8" s="118">
        <v>0</v>
      </c>
      <c r="P8" s="118">
        <v>0</v>
      </c>
      <c r="Q8" s="118">
        <v>0</v>
      </c>
      <c r="R8" s="118">
        <v>0</v>
      </c>
      <c r="S8" s="118">
        <v>0</v>
      </c>
      <c r="T8" s="118">
        <v>0</v>
      </c>
      <c r="U8" s="118">
        <v>0</v>
      </c>
      <c r="V8" s="118">
        <v>0</v>
      </c>
      <c r="W8" s="118">
        <v>0</v>
      </c>
      <c r="X8" s="118">
        <v>0</v>
      </c>
      <c r="Y8" s="118">
        <v>0</v>
      </c>
      <c r="Z8" s="118">
        <v>0</v>
      </c>
      <c r="AA8" s="118">
        <v>0</v>
      </c>
      <c r="AB8" s="118">
        <v>0</v>
      </c>
      <c r="AC8" s="118">
        <v>0</v>
      </c>
      <c r="AD8" s="118">
        <v>0</v>
      </c>
      <c r="AE8" s="118">
        <v>0</v>
      </c>
      <c r="AF8" s="118">
        <v>0</v>
      </c>
      <c r="AG8" s="118">
        <v>0</v>
      </c>
      <c r="AH8" s="118">
        <v>0</v>
      </c>
      <c r="AI8" s="118">
        <v>0</v>
      </c>
      <c r="AJ8" s="118">
        <v>0</v>
      </c>
      <c r="AK8" s="118">
        <v>0</v>
      </c>
      <c r="AL8" s="118">
        <f>'02 Zostatková hodnota'!H9</f>
        <v>72080000</v>
      </c>
    </row>
    <row r="9" spans="2:38" ht="12" thickTop="1" x14ac:dyDescent="0.2">
      <c r="B9" s="22" t="s">
        <v>40</v>
      </c>
      <c r="C9" s="225">
        <f>D9+NPV(Parametre!$C$9,'06 Finančná analýza'!E9:AL9)</f>
        <v>-95736790.759571478</v>
      </c>
      <c r="D9" s="226">
        <f>-D5-D6+D7+D8</f>
        <v>0</v>
      </c>
      <c r="E9" s="226">
        <f t="shared" ref="E9:AG9" si="6">-E5-E6+E7+E8</f>
        <v>-20400000</v>
      </c>
      <c r="F9" s="226">
        <f t="shared" si="6"/>
        <v>-81600000</v>
      </c>
      <c r="G9" s="226">
        <f t="shared" si="6"/>
        <v>-795070.87370684836</v>
      </c>
      <c r="H9" s="226">
        <f t="shared" si="6"/>
        <v>-805402.527476958</v>
      </c>
      <c r="I9" s="226">
        <f>-I5-I6+I7+I8</f>
        <v>-815642.03779916745</v>
      </c>
      <c r="J9" s="226">
        <f t="shared" si="6"/>
        <v>-825777.72857458796</v>
      </c>
      <c r="K9" s="226">
        <f t="shared" si="6"/>
        <v>-835797.39666543063</v>
      </c>
      <c r="L9" s="226">
        <f t="shared" si="6"/>
        <v>-843916.70523106586</v>
      </c>
      <c r="M9" s="226">
        <f t="shared" si="6"/>
        <v>1692653.1116416687</v>
      </c>
      <c r="N9" s="226">
        <f t="shared" si="6"/>
        <v>1679239.6190700931</v>
      </c>
      <c r="O9" s="226">
        <f t="shared" si="6"/>
        <v>1665855.4247954553</v>
      </c>
      <c r="P9" s="226">
        <f t="shared" si="6"/>
        <v>1652513.8644129364</v>
      </c>
      <c r="Q9" s="226">
        <f t="shared" si="6"/>
        <v>-910770.96605953295</v>
      </c>
      <c r="R9" s="226">
        <f t="shared" si="6"/>
        <v>-923984.17628789041</v>
      </c>
      <c r="S9" s="226">
        <f t="shared" si="6"/>
        <v>-937110.04635254387</v>
      </c>
      <c r="T9" s="226">
        <f t="shared" si="6"/>
        <v>-950439.57328136824</v>
      </c>
      <c r="U9" s="226">
        <f t="shared" si="6"/>
        <v>-961621.45266564656</v>
      </c>
      <c r="V9" s="226">
        <f t="shared" si="6"/>
        <v>-971894.76009280887</v>
      </c>
      <c r="W9" s="226">
        <f t="shared" si="6"/>
        <v>5393192.0729866866</v>
      </c>
      <c r="X9" s="226">
        <f t="shared" si="6"/>
        <v>5383672.2533871196</v>
      </c>
      <c r="Y9" s="226">
        <f t="shared" si="6"/>
        <v>19580.808734816965</v>
      </c>
      <c r="Z9" s="226">
        <f t="shared" si="6"/>
        <v>10954.67451461684</v>
      </c>
      <c r="AA9" s="226">
        <f t="shared" si="6"/>
        <v>-6372167.2149565639</v>
      </c>
      <c r="AB9" s="226">
        <f t="shared" si="6"/>
        <v>-6379743.831457301</v>
      </c>
      <c r="AC9" s="226">
        <f t="shared" si="6"/>
        <v>-1031731.9535111832</v>
      </c>
      <c r="AD9" s="226">
        <f t="shared" si="6"/>
        <v>-1035665.2647328707</v>
      </c>
      <c r="AE9" s="226">
        <f t="shared" si="6"/>
        <v>-1037361.072465166</v>
      </c>
      <c r="AF9" s="226">
        <f t="shared" si="6"/>
        <v>-1037986.4264570754</v>
      </c>
      <c r="AG9" s="226">
        <f t="shared" si="6"/>
        <v>1512535.7028053463</v>
      </c>
      <c r="AH9" s="226">
        <f t="shared" ref="AH9:AL9" si="7">-AH5-AH6+AH7+AH8</f>
        <v>1514286.6528153559</v>
      </c>
      <c r="AI9" s="226">
        <f t="shared" si="7"/>
        <v>-13527647.708590927</v>
      </c>
      <c r="AJ9" s="226">
        <f t="shared" si="7"/>
        <v>-13523176.749800721</v>
      </c>
      <c r="AK9" s="226">
        <f t="shared" si="7"/>
        <v>-16067204.830380838</v>
      </c>
      <c r="AL9" s="226">
        <f t="shared" si="7"/>
        <v>56020368.956141785</v>
      </c>
    </row>
    <row r="11" spans="2:38" x14ac:dyDescent="0.2">
      <c r="B11" s="26" t="s">
        <v>20</v>
      </c>
      <c r="C11" s="158">
        <f>-C5-C6+C7+C8</f>
        <v>-95736790.759571433</v>
      </c>
      <c r="D11" s="2" t="s">
        <v>0</v>
      </c>
      <c r="E11" s="25"/>
    </row>
    <row r="12" spans="2:38" x14ac:dyDescent="0.2">
      <c r="B12" s="26" t="s">
        <v>21</v>
      </c>
      <c r="C12" s="159">
        <f>IRR(D9:AQ9,1)</f>
        <v>-5.9751606487450037E-2</v>
      </c>
    </row>
    <row r="15" spans="2:38" x14ac:dyDescent="0.2">
      <c r="B15" s="15" t="s">
        <v>25</v>
      </c>
      <c r="C15" s="15"/>
      <c r="D15" s="3" t="s">
        <v>10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2:38" x14ac:dyDescent="0.2">
      <c r="B16" s="4"/>
      <c r="C16" s="18" t="s">
        <v>9</v>
      </c>
      <c r="D16" s="5">
        <v>1</v>
      </c>
      <c r="E16" s="5">
        <v>2</v>
      </c>
      <c r="F16" s="5">
        <v>3</v>
      </c>
      <c r="G16" s="5">
        <v>4</v>
      </c>
      <c r="H16" s="5">
        <v>5</v>
      </c>
      <c r="I16" s="5">
        <v>6</v>
      </c>
      <c r="J16" s="5">
        <v>7</v>
      </c>
      <c r="K16" s="5">
        <v>8</v>
      </c>
      <c r="L16" s="5">
        <v>9</v>
      </c>
      <c r="M16" s="5">
        <v>10</v>
      </c>
      <c r="N16" s="5">
        <v>11</v>
      </c>
      <c r="O16" s="5">
        <v>12</v>
      </c>
      <c r="P16" s="5">
        <v>13</v>
      </c>
      <c r="Q16" s="5">
        <v>14</v>
      </c>
      <c r="R16" s="5">
        <v>15</v>
      </c>
      <c r="S16" s="5">
        <v>16</v>
      </c>
      <c r="T16" s="5">
        <v>17</v>
      </c>
      <c r="U16" s="5">
        <v>18</v>
      </c>
      <c r="V16" s="5">
        <v>19</v>
      </c>
      <c r="W16" s="5">
        <v>20</v>
      </c>
      <c r="X16" s="5">
        <v>21</v>
      </c>
      <c r="Y16" s="5">
        <v>22</v>
      </c>
      <c r="Z16" s="5">
        <v>23</v>
      </c>
      <c r="AA16" s="5">
        <v>24</v>
      </c>
      <c r="AB16" s="5">
        <v>25</v>
      </c>
      <c r="AC16" s="5">
        <v>26</v>
      </c>
      <c r="AD16" s="5">
        <v>27</v>
      </c>
      <c r="AE16" s="5">
        <v>28</v>
      </c>
      <c r="AF16" s="5">
        <v>29</v>
      </c>
      <c r="AG16" s="5">
        <v>30</v>
      </c>
      <c r="AH16" s="5">
        <v>31</v>
      </c>
      <c r="AI16" s="5">
        <v>32</v>
      </c>
      <c r="AJ16" s="5">
        <v>33</v>
      </c>
      <c r="AK16" s="5">
        <v>34</v>
      </c>
      <c r="AL16" s="5">
        <v>35</v>
      </c>
    </row>
    <row r="17" spans="2:38" x14ac:dyDescent="0.2">
      <c r="B17" s="6" t="s">
        <v>39</v>
      </c>
      <c r="C17" s="111" t="s">
        <v>179</v>
      </c>
      <c r="D17" s="7">
        <f>D4</f>
        <v>2025</v>
      </c>
      <c r="E17" s="7">
        <f>E4</f>
        <v>2026</v>
      </c>
      <c r="F17" s="7">
        <f>F4</f>
        <v>2027</v>
      </c>
      <c r="G17" s="7">
        <f t="shared" ref="G17:AG17" si="8">G4</f>
        <v>2028</v>
      </c>
      <c r="H17" s="7">
        <f t="shared" si="8"/>
        <v>2029</v>
      </c>
      <c r="I17" s="7">
        <f t="shared" si="8"/>
        <v>2030</v>
      </c>
      <c r="J17" s="7">
        <f t="shared" si="8"/>
        <v>2031</v>
      </c>
      <c r="K17" s="7">
        <f t="shared" si="8"/>
        <v>2032</v>
      </c>
      <c r="L17" s="7">
        <f t="shared" si="8"/>
        <v>2033</v>
      </c>
      <c r="M17" s="7">
        <f t="shared" si="8"/>
        <v>2034</v>
      </c>
      <c r="N17" s="7">
        <f t="shared" si="8"/>
        <v>2035</v>
      </c>
      <c r="O17" s="7">
        <f t="shared" si="8"/>
        <v>2036</v>
      </c>
      <c r="P17" s="7">
        <f t="shared" si="8"/>
        <v>2037</v>
      </c>
      <c r="Q17" s="7">
        <f t="shared" si="8"/>
        <v>2038</v>
      </c>
      <c r="R17" s="7">
        <f t="shared" si="8"/>
        <v>2039</v>
      </c>
      <c r="S17" s="7">
        <f t="shared" si="8"/>
        <v>2040</v>
      </c>
      <c r="T17" s="7">
        <f t="shared" si="8"/>
        <v>2041</v>
      </c>
      <c r="U17" s="7">
        <f t="shared" si="8"/>
        <v>2042</v>
      </c>
      <c r="V17" s="7">
        <f t="shared" si="8"/>
        <v>2043</v>
      </c>
      <c r="W17" s="7">
        <f t="shared" si="8"/>
        <v>2044</v>
      </c>
      <c r="X17" s="7">
        <f t="shared" si="8"/>
        <v>2045</v>
      </c>
      <c r="Y17" s="7">
        <f t="shared" si="8"/>
        <v>2046</v>
      </c>
      <c r="Z17" s="7">
        <f t="shared" si="8"/>
        <v>2047</v>
      </c>
      <c r="AA17" s="7">
        <f t="shared" si="8"/>
        <v>2048</v>
      </c>
      <c r="AB17" s="7">
        <f t="shared" si="8"/>
        <v>2049</v>
      </c>
      <c r="AC17" s="7">
        <f t="shared" si="8"/>
        <v>2050</v>
      </c>
      <c r="AD17" s="7">
        <f t="shared" si="8"/>
        <v>2051</v>
      </c>
      <c r="AE17" s="7">
        <f t="shared" si="8"/>
        <v>2052</v>
      </c>
      <c r="AF17" s="7">
        <f t="shared" si="8"/>
        <v>2053</v>
      </c>
      <c r="AG17" s="7">
        <f t="shared" si="8"/>
        <v>2054</v>
      </c>
      <c r="AH17" s="7">
        <f t="shared" ref="AH17:AL17" si="9">AH4</f>
        <v>2055</v>
      </c>
      <c r="AI17" s="7">
        <f t="shared" si="9"/>
        <v>2056</v>
      </c>
      <c r="AJ17" s="7">
        <f t="shared" si="9"/>
        <v>2057</v>
      </c>
      <c r="AK17" s="7">
        <f t="shared" si="9"/>
        <v>2058</v>
      </c>
      <c r="AL17" s="7">
        <f t="shared" si="9"/>
        <v>2059</v>
      </c>
    </row>
    <row r="18" spans="2:38" x14ac:dyDescent="0.2">
      <c r="B18" s="3" t="s">
        <v>180</v>
      </c>
      <c r="C18" s="223">
        <f>D18+NPV(Parametre!$C$9,'06 Finančná analýza'!E18:H18)</f>
        <v>19011834.319526628</v>
      </c>
      <c r="D18" s="117">
        <f>'05 Financovanie'!D28-((1-'05 Financovanie'!$C$19)*('01 Investičné výdavky'!D13+'01 Investičné výdavky'!D14+'01 Investičné výdavky'!D16))</f>
        <v>0</v>
      </c>
      <c r="E18" s="117">
        <f>'05 Financovanie'!E28-((1-'05 Financovanie'!$C$19)*('01 Investičné výdavky'!E13+'01 Investičné výdavky'!E14+'01 Investičné výdavky'!E16))</f>
        <v>4080000</v>
      </c>
      <c r="F18" s="117">
        <f>'05 Financovanie'!F28-((1-'05 Financovanie'!$C$19)*('01 Investičné výdavky'!F13+'01 Investičné výdavky'!F14+'01 Investičné výdavky'!F16))</f>
        <v>16320000</v>
      </c>
      <c r="G18" s="117">
        <f>'05 Financovanie'!G28-((1-'05 Financovanie'!$C$19)*('01 Investičné výdavky'!G13+'01 Investičné výdavky'!G14+'01 Investičné výdavky'!G16))</f>
        <v>0</v>
      </c>
      <c r="H18" s="117">
        <f>'05 Financovanie'!H28-((1-'05 Financovanie'!$C$19)*('01 Investičné výdavky'!H13+'01 Investičné výdavky'!H14+'01 Investičné výdavky'!H16))</f>
        <v>0</v>
      </c>
      <c r="I18" s="117">
        <f>'05 Financovanie'!I28-((1-'05 Financovanie'!$C$19)*('01 Investičné výdavky'!I13+'01 Investičné výdavky'!I14+'01 Investičné výdavky'!I16))</f>
        <v>0</v>
      </c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</row>
    <row r="19" spans="2:38" x14ac:dyDescent="0.2">
      <c r="B19" s="3" t="s">
        <v>57</v>
      </c>
      <c r="C19" s="223">
        <f>D19+NPV(Parametre!$C$9,'06 Finančná analýza'!E19:AL19)</f>
        <v>22196278.701804329</v>
      </c>
      <c r="D19" s="117">
        <f>'03 Prevádzkové výdavky'!D32</f>
        <v>0</v>
      </c>
      <c r="E19" s="117">
        <f>'03 Prevádzkové výdavky'!E32</f>
        <v>0</v>
      </c>
      <c r="F19" s="117">
        <f>'03 Prevádzkové výdavky'!F32</f>
        <v>0</v>
      </c>
      <c r="G19" s="117">
        <f>'03 Prevádzkové výdavky'!G32</f>
        <v>948862.48957161047</v>
      </c>
      <c r="H19" s="117">
        <f>'03 Prevádzkové výdavky'!H32</f>
        <v>959194.1433417201</v>
      </c>
      <c r="I19" s="117">
        <f>'03 Prevádzkové výdavky'!I32</f>
        <v>969433.65366392955</v>
      </c>
      <c r="J19" s="117">
        <f>'03 Prevádzkové výdavky'!J32</f>
        <v>979569.34443935007</v>
      </c>
      <c r="K19" s="117">
        <f>'03 Prevádzkové výdavky'!K32</f>
        <v>989589.01253019273</v>
      </c>
      <c r="L19" s="117">
        <f>'03 Prevádzkové výdavky'!L32</f>
        <v>997708.32109582797</v>
      </c>
      <c r="M19" s="117">
        <f>'03 Prevádzkové výdavky'!M32</f>
        <v>-1538861.4957769066</v>
      </c>
      <c r="N19" s="117">
        <f>'03 Prevádzkové výdavky'!N32</f>
        <v>-1525448.003205331</v>
      </c>
      <c r="O19" s="117">
        <f>'03 Prevádzkové výdavky'!O32</f>
        <v>-1512063.8089306932</v>
      </c>
      <c r="P19" s="117">
        <f>'03 Prevádzkové výdavky'!P32</f>
        <v>-1498722.2485481743</v>
      </c>
      <c r="Q19" s="117">
        <f>'03 Prevádzkové výdavky'!Q32</f>
        <v>1064562.5819242951</v>
      </c>
      <c r="R19" s="117">
        <f>'03 Prevádzkové výdavky'!R32</f>
        <v>1077775.7921526525</v>
      </c>
      <c r="S19" s="117">
        <f>'03 Prevádzkové výdavky'!S32</f>
        <v>1090901.662217306</v>
      </c>
      <c r="T19" s="117">
        <f>'03 Prevádzkové výdavky'!T32</f>
        <v>1103923.6059144009</v>
      </c>
      <c r="U19" s="117">
        <f>'03 Prevádzkové výdavky'!U32</f>
        <v>1114798.5172334127</v>
      </c>
      <c r="V19" s="117">
        <f>'03 Prevádzkové výdavky'!V32</f>
        <v>1124765.4705314394</v>
      </c>
      <c r="W19" s="117">
        <f>'03 Prevádzkové výdavky'!W32</f>
        <v>-5240627.1039689332</v>
      </c>
      <c r="X19" s="117">
        <f>'03 Prevádzkové výdavky'!X32</f>
        <v>-5231412.4143074024</v>
      </c>
      <c r="Y19" s="117">
        <f>'03 Prevádzkové výdavky'!Y32</f>
        <v>132374.51066674106</v>
      </c>
      <c r="Z19" s="117">
        <f>'03 Prevádzkové výdavky'!Z32</f>
        <v>140696.73424813896</v>
      </c>
      <c r="AA19" s="117">
        <f>'03 Prevádzkové výdavky'!AA32</f>
        <v>6523515.3209017944</v>
      </c>
      <c r="AB19" s="117">
        <f>'03 Prevádzkové výdavky'!AB32</f>
        <v>6530789.2411906403</v>
      </c>
      <c r="AC19" s="117">
        <f>'03 Prevádzkové výdavky'!AC32</f>
        <v>1182475.2724250555</v>
      </c>
      <c r="AD19" s="117">
        <f>'03 Prevádzkové výdavky'!AD32</f>
        <v>1186107.0970089156</v>
      </c>
      <c r="AE19" s="117">
        <f>'03 Prevádzkové výdavky'!AE32</f>
        <v>1187502.0210766587</v>
      </c>
      <c r="AF19" s="117">
        <f>'03 Prevádzkové výdavky'!AF32</f>
        <v>1187827.0931713451</v>
      </c>
      <c r="AG19" s="117">
        <f>'03 Prevádzkové výdavky'!AG32</f>
        <v>-1362994.7174245045</v>
      </c>
      <c r="AH19" s="117">
        <f>'03 Prevádzkové výdavky'!AH32</f>
        <v>-1365044.749405276</v>
      </c>
      <c r="AI19" s="117">
        <f>'03 Prevádzkové výdavky'!AI32</f>
        <v>13676591.128194187</v>
      </c>
      <c r="AJ19" s="117">
        <f>'03 Prevádzkové výdavky'!AJ32</f>
        <v>13671822.282564774</v>
      </c>
      <c r="AK19" s="117">
        <f>'03 Prevádzkové výdavky'!AK32</f>
        <v>16215553.072079364</v>
      </c>
      <c r="AL19" s="117">
        <f>'03 Prevádzkové výdavky'!AL32</f>
        <v>16207682.589073341</v>
      </c>
    </row>
    <row r="20" spans="2:38" x14ac:dyDescent="0.2">
      <c r="B20" s="3" t="s">
        <v>188</v>
      </c>
      <c r="C20" s="223">
        <f>D20+NPV(Parametre!$C$9,'06 Finančná analýza'!E20:AL20)</f>
        <v>0</v>
      </c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</row>
    <row r="21" spans="2:38" x14ac:dyDescent="0.2">
      <c r="B21" s="3" t="s">
        <v>13</v>
      </c>
      <c r="C21" s="223">
        <f>D21+NPV(Parametre!$C$9,'06 Finančná analýza'!E21:AL21)</f>
        <v>2521824.924641998</v>
      </c>
      <c r="D21" s="119">
        <f>'04 Prevádzkové príjmy'!D23</f>
        <v>0</v>
      </c>
      <c r="E21" s="119">
        <f>'04 Prevádzkové príjmy'!E23</f>
        <v>0</v>
      </c>
      <c r="F21" s="119">
        <f>'04 Prevádzkové príjmy'!F23</f>
        <v>0</v>
      </c>
      <c r="G21" s="119">
        <f>'04 Prevádzkové príjmy'!G23</f>
        <v>153791.61586476211</v>
      </c>
      <c r="H21" s="119">
        <f>'04 Prevádzkové príjmy'!H23</f>
        <v>153791.61586476211</v>
      </c>
      <c r="I21" s="119">
        <f>'04 Prevádzkové príjmy'!I23</f>
        <v>153791.61586476211</v>
      </c>
      <c r="J21" s="119">
        <f>'04 Prevádzkové príjmy'!J23</f>
        <v>153791.61586476211</v>
      </c>
      <c r="K21" s="119">
        <f>'04 Prevádzkové príjmy'!K23</f>
        <v>153791.61586476211</v>
      </c>
      <c r="L21" s="119">
        <f>'04 Prevádzkové príjmy'!L23</f>
        <v>153791.61586476211</v>
      </c>
      <c r="M21" s="119">
        <f>'04 Prevádzkové príjmy'!M23</f>
        <v>153791.61586476211</v>
      </c>
      <c r="N21" s="119">
        <f>'04 Prevádzkové príjmy'!N23</f>
        <v>153791.61586476211</v>
      </c>
      <c r="O21" s="119">
        <f>'04 Prevádzkové príjmy'!O23</f>
        <v>153791.61586476211</v>
      </c>
      <c r="P21" s="119">
        <f>'04 Prevádzkové príjmy'!P23</f>
        <v>153791.61586476211</v>
      </c>
      <c r="Q21" s="119">
        <f>'04 Prevádzkové príjmy'!Q23</f>
        <v>153791.61586476211</v>
      </c>
      <c r="R21" s="119">
        <f>'04 Prevádzkové príjmy'!R23</f>
        <v>153791.61586476211</v>
      </c>
      <c r="S21" s="119">
        <f>'04 Prevádzkové príjmy'!S23</f>
        <v>153791.61586476211</v>
      </c>
      <c r="T21" s="119">
        <f>'04 Prevádzkové príjmy'!T23</f>
        <v>153484.03263303265</v>
      </c>
      <c r="U21" s="119">
        <f>'04 Prevádzkové príjmy'!U23</f>
        <v>153177.06456776615</v>
      </c>
      <c r="V21" s="119">
        <f>'04 Prevádzkové príjmy'!V23</f>
        <v>152870.71043863054</v>
      </c>
      <c r="W21" s="119">
        <f>'04 Prevádzkové príjmy'!W23</f>
        <v>152564.96901775338</v>
      </c>
      <c r="X21" s="119">
        <f>'04 Prevádzkové príjmy'!X23</f>
        <v>152259.83907971764</v>
      </c>
      <c r="Y21" s="119">
        <f>'04 Prevádzkové príjmy'!Y23</f>
        <v>151955.31940155802</v>
      </c>
      <c r="Z21" s="119">
        <f>'04 Prevádzkové príjmy'!Z23</f>
        <v>151651.4087627558</v>
      </c>
      <c r="AA21" s="119">
        <f>'04 Prevádzkové príjmy'!AA23</f>
        <v>151348.10594523046</v>
      </c>
      <c r="AB21" s="119">
        <f>'04 Prevádzkové príjmy'!AB23</f>
        <v>151045.40973333921</v>
      </c>
      <c r="AC21" s="119">
        <f>'04 Prevádzkové príjmy'!AC23</f>
        <v>150743.31891387235</v>
      </c>
      <c r="AD21" s="119">
        <f>'04 Prevádzkové príjmy'!AD23</f>
        <v>150441.83227604488</v>
      </c>
      <c r="AE21" s="119">
        <f>'04 Prevádzkové príjmy'!AE23</f>
        <v>150140.94861149276</v>
      </c>
      <c r="AF21" s="119">
        <f>'04 Prevádzkové príjmy'!AF23</f>
        <v>149840.66671426967</v>
      </c>
      <c r="AG21" s="119">
        <f>'04 Prevádzkové príjmy'!AG23</f>
        <v>149540.98538084188</v>
      </c>
      <c r="AH21" s="119">
        <f>'04 Prevádzkové príjmy'!AH23</f>
        <v>149241.90341007989</v>
      </c>
      <c r="AI21" s="119">
        <f>'04 Prevádzkové príjmy'!AI23</f>
        <v>148943.41960325977</v>
      </c>
      <c r="AJ21" s="119">
        <f>'04 Prevádzkové príjmy'!AJ23</f>
        <v>148645.53276405297</v>
      </c>
      <c r="AK21" s="119">
        <f>'04 Prevádzkové príjmy'!AK23</f>
        <v>148348.24169852491</v>
      </c>
      <c r="AL21" s="119">
        <f>'04 Prevádzkové príjmy'!AL23</f>
        <v>148051.54521512799</v>
      </c>
    </row>
    <row r="22" spans="2:38" ht="12" thickBot="1" x14ac:dyDescent="0.25">
      <c r="B22" s="27" t="s">
        <v>16</v>
      </c>
      <c r="C22" s="224">
        <f>D22+NPV(Parametre!$C$9,'06 Finančná analýza'!E22:AL22)</f>
        <v>18996834.61522403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18">
        <v>0</v>
      </c>
      <c r="N22" s="118">
        <v>0</v>
      </c>
      <c r="O22" s="118">
        <v>0</v>
      </c>
      <c r="P22" s="118">
        <v>0</v>
      </c>
      <c r="Q22" s="118">
        <v>0</v>
      </c>
      <c r="R22" s="118">
        <v>0</v>
      </c>
      <c r="S22" s="118">
        <v>0</v>
      </c>
      <c r="T22" s="118">
        <v>0</v>
      </c>
      <c r="U22" s="118">
        <v>0</v>
      </c>
      <c r="V22" s="118">
        <v>0</v>
      </c>
      <c r="W22" s="118">
        <v>0</v>
      </c>
      <c r="X22" s="118">
        <v>0</v>
      </c>
      <c r="Y22" s="118">
        <v>0</v>
      </c>
      <c r="Z22" s="118">
        <v>0</v>
      </c>
      <c r="AA22" s="118">
        <v>0</v>
      </c>
      <c r="AB22" s="118">
        <v>0</v>
      </c>
      <c r="AC22" s="118">
        <v>0</v>
      </c>
      <c r="AD22" s="118">
        <v>0</v>
      </c>
      <c r="AE22" s="118">
        <v>0</v>
      </c>
      <c r="AF22" s="118">
        <v>0</v>
      </c>
      <c r="AG22" s="118">
        <f>AG8</f>
        <v>0</v>
      </c>
      <c r="AH22" s="118">
        <f t="shared" ref="AH22:AL22" si="10">AH8</f>
        <v>0</v>
      </c>
      <c r="AI22" s="118">
        <f t="shared" si="10"/>
        <v>0</v>
      </c>
      <c r="AJ22" s="118">
        <f t="shared" si="10"/>
        <v>0</v>
      </c>
      <c r="AK22" s="118">
        <f t="shared" si="10"/>
        <v>0</v>
      </c>
      <c r="AL22" s="118">
        <f t="shared" si="10"/>
        <v>72080000</v>
      </c>
    </row>
    <row r="23" spans="2:38" ht="12" thickTop="1" x14ac:dyDescent="0.2">
      <c r="B23" s="22" t="s">
        <v>40</v>
      </c>
      <c r="C23" s="227">
        <f>D23+NPV(Parametre!$C$9,'06 Finančná analýza'!E23:AQ23)</f>
        <v>-19689453.481464922</v>
      </c>
      <c r="D23" s="226">
        <f>-D18-D19-D20+D21+D22</f>
        <v>0</v>
      </c>
      <c r="E23" s="226">
        <f t="shared" ref="E23:AG23" si="11">-E18-E19-E20+E21+E22</f>
        <v>-4080000</v>
      </c>
      <c r="F23" s="226">
        <f t="shared" si="11"/>
        <v>-16320000</v>
      </c>
      <c r="G23" s="226">
        <f t="shared" si="11"/>
        <v>-795070.87370684836</v>
      </c>
      <c r="H23" s="226">
        <f t="shared" si="11"/>
        <v>-805402.527476958</v>
      </c>
      <c r="I23" s="226">
        <f t="shared" si="11"/>
        <v>-815642.03779916745</v>
      </c>
      <c r="J23" s="226">
        <f t="shared" si="11"/>
        <v>-825777.72857458796</v>
      </c>
      <c r="K23" s="226">
        <f t="shared" si="11"/>
        <v>-835797.39666543063</v>
      </c>
      <c r="L23" s="226">
        <f t="shared" si="11"/>
        <v>-843916.70523106586</v>
      </c>
      <c r="M23" s="226">
        <f t="shared" si="11"/>
        <v>1692653.1116416687</v>
      </c>
      <c r="N23" s="226">
        <f t="shared" si="11"/>
        <v>1679239.6190700931</v>
      </c>
      <c r="O23" s="226">
        <f t="shared" si="11"/>
        <v>1665855.4247954553</v>
      </c>
      <c r="P23" s="226">
        <f t="shared" si="11"/>
        <v>1652513.8644129364</v>
      </c>
      <c r="Q23" s="226">
        <f t="shared" si="11"/>
        <v>-910770.96605953295</v>
      </c>
      <c r="R23" s="226">
        <f t="shared" si="11"/>
        <v>-923984.17628789041</v>
      </c>
      <c r="S23" s="226">
        <f t="shared" si="11"/>
        <v>-937110.04635254387</v>
      </c>
      <c r="T23" s="226">
        <f t="shared" si="11"/>
        <v>-950439.57328136824</v>
      </c>
      <c r="U23" s="226">
        <f t="shared" si="11"/>
        <v>-961621.45266564656</v>
      </c>
      <c r="V23" s="226">
        <f t="shared" si="11"/>
        <v>-971894.76009280887</v>
      </c>
      <c r="W23" s="226">
        <f t="shared" si="11"/>
        <v>5393192.0729866866</v>
      </c>
      <c r="X23" s="226">
        <f t="shared" si="11"/>
        <v>5383672.2533871196</v>
      </c>
      <c r="Y23" s="226">
        <f t="shared" si="11"/>
        <v>19580.808734816965</v>
      </c>
      <c r="Z23" s="226">
        <f t="shared" si="11"/>
        <v>10954.67451461684</v>
      </c>
      <c r="AA23" s="226">
        <f t="shared" si="11"/>
        <v>-6372167.2149565639</v>
      </c>
      <c r="AB23" s="226">
        <f t="shared" si="11"/>
        <v>-6379743.831457301</v>
      </c>
      <c r="AC23" s="226">
        <f t="shared" si="11"/>
        <v>-1031731.9535111832</v>
      </c>
      <c r="AD23" s="226">
        <f t="shared" si="11"/>
        <v>-1035665.2647328707</v>
      </c>
      <c r="AE23" s="226">
        <f t="shared" si="11"/>
        <v>-1037361.072465166</v>
      </c>
      <c r="AF23" s="226">
        <f t="shared" si="11"/>
        <v>-1037986.4264570754</v>
      </c>
      <c r="AG23" s="226">
        <f t="shared" si="11"/>
        <v>1512535.7028053463</v>
      </c>
      <c r="AH23" s="226">
        <f t="shared" ref="AH23:AL23" si="12">-AH18-AH19-AH20+AH21+AH22</f>
        <v>1514286.6528153559</v>
      </c>
      <c r="AI23" s="226">
        <f t="shared" si="12"/>
        <v>-13527647.708590927</v>
      </c>
      <c r="AJ23" s="226">
        <f t="shared" si="12"/>
        <v>-13523176.749800721</v>
      </c>
      <c r="AK23" s="226">
        <f t="shared" si="12"/>
        <v>-16067204.830380838</v>
      </c>
      <c r="AL23" s="226">
        <f t="shared" si="12"/>
        <v>56020368.956141785</v>
      </c>
    </row>
    <row r="25" spans="2:38" x14ac:dyDescent="0.2">
      <c r="B25" s="26" t="s">
        <v>22</v>
      </c>
      <c r="C25" s="158">
        <f>-C18-C19-C20+C21+C22</f>
        <v>-19689453.481464926</v>
      </c>
      <c r="D25" s="25" t="s">
        <v>0</v>
      </c>
    </row>
    <row r="26" spans="2:38" x14ac:dyDescent="0.2">
      <c r="B26" s="26" t="s">
        <v>23</v>
      </c>
      <c r="C26" s="159">
        <f>IRR(D23:AQ23,1)</f>
        <v>-2.3496293180240269E-2</v>
      </c>
    </row>
    <row r="27" spans="2:38" x14ac:dyDescent="0.2">
      <c r="D27" s="25"/>
    </row>
    <row r="29" spans="2:38" x14ac:dyDescent="0.2">
      <c r="B29" s="15" t="s">
        <v>182</v>
      </c>
      <c r="C29" s="15"/>
      <c r="D29" s="3" t="s">
        <v>10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2:38" x14ac:dyDescent="0.2">
      <c r="B30" s="4"/>
      <c r="C30" s="4"/>
      <c r="D30" s="5">
        <v>1</v>
      </c>
      <c r="E30" s="5">
        <v>2</v>
      </c>
      <c r="F30" s="5">
        <v>3</v>
      </c>
      <c r="G30" s="5">
        <v>4</v>
      </c>
      <c r="H30" s="5">
        <v>5</v>
      </c>
      <c r="I30" s="5">
        <v>6</v>
      </c>
      <c r="J30" s="5">
        <v>7</v>
      </c>
      <c r="K30" s="5">
        <v>8</v>
      </c>
      <c r="L30" s="5">
        <v>9</v>
      </c>
      <c r="M30" s="5">
        <v>10</v>
      </c>
      <c r="N30" s="5">
        <v>11</v>
      </c>
      <c r="O30" s="5">
        <v>12</v>
      </c>
      <c r="P30" s="5">
        <v>13</v>
      </c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  <c r="X30" s="5">
        <v>21</v>
      </c>
      <c r="Y30" s="5">
        <v>22</v>
      </c>
      <c r="Z30" s="5">
        <v>23</v>
      </c>
      <c r="AA30" s="5">
        <v>24</v>
      </c>
      <c r="AB30" s="5">
        <v>25</v>
      </c>
      <c r="AC30" s="5">
        <v>26</v>
      </c>
      <c r="AD30" s="5">
        <v>27</v>
      </c>
      <c r="AE30" s="5">
        <v>28</v>
      </c>
      <c r="AF30" s="5">
        <v>29</v>
      </c>
      <c r="AG30" s="5">
        <v>30</v>
      </c>
      <c r="AH30" s="5">
        <v>31</v>
      </c>
      <c r="AI30" s="5">
        <v>32</v>
      </c>
      <c r="AJ30" s="5">
        <v>33</v>
      </c>
      <c r="AK30" s="5">
        <v>34</v>
      </c>
      <c r="AL30" s="5">
        <v>35</v>
      </c>
    </row>
    <row r="31" spans="2:38" x14ac:dyDescent="0.2">
      <c r="B31" s="6" t="s">
        <v>39</v>
      </c>
      <c r="C31" s="111" t="s">
        <v>9</v>
      </c>
      <c r="D31" s="7">
        <f>D4</f>
        <v>2025</v>
      </c>
      <c r="E31" s="7">
        <f t="shared" ref="E31:AG31" si="13">E4</f>
        <v>2026</v>
      </c>
      <c r="F31" s="7">
        <f t="shared" si="13"/>
        <v>2027</v>
      </c>
      <c r="G31" s="7">
        <f t="shared" si="13"/>
        <v>2028</v>
      </c>
      <c r="H31" s="7">
        <f t="shared" si="13"/>
        <v>2029</v>
      </c>
      <c r="I31" s="7">
        <f t="shared" si="13"/>
        <v>2030</v>
      </c>
      <c r="J31" s="7">
        <f t="shared" si="13"/>
        <v>2031</v>
      </c>
      <c r="K31" s="7">
        <f t="shared" si="13"/>
        <v>2032</v>
      </c>
      <c r="L31" s="7">
        <f t="shared" si="13"/>
        <v>2033</v>
      </c>
      <c r="M31" s="7">
        <f t="shared" si="13"/>
        <v>2034</v>
      </c>
      <c r="N31" s="7">
        <f t="shared" si="13"/>
        <v>2035</v>
      </c>
      <c r="O31" s="7">
        <f t="shared" si="13"/>
        <v>2036</v>
      </c>
      <c r="P31" s="7">
        <f t="shared" si="13"/>
        <v>2037</v>
      </c>
      <c r="Q31" s="7">
        <f t="shared" si="13"/>
        <v>2038</v>
      </c>
      <c r="R31" s="7">
        <f t="shared" si="13"/>
        <v>2039</v>
      </c>
      <c r="S31" s="7">
        <f t="shared" si="13"/>
        <v>2040</v>
      </c>
      <c r="T31" s="7">
        <f t="shared" si="13"/>
        <v>2041</v>
      </c>
      <c r="U31" s="7">
        <f t="shared" si="13"/>
        <v>2042</v>
      </c>
      <c r="V31" s="7">
        <f t="shared" si="13"/>
        <v>2043</v>
      </c>
      <c r="W31" s="7">
        <f t="shared" si="13"/>
        <v>2044</v>
      </c>
      <c r="X31" s="7">
        <f t="shared" si="13"/>
        <v>2045</v>
      </c>
      <c r="Y31" s="7">
        <f t="shared" si="13"/>
        <v>2046</v>
      </c>
      <c r="Z31" s="7">
        <f t="shared" si="13"/>
        <v>2047</v>
      </c>
      <c r="AA31" s="7">
        <f t="shared" si="13"/>
        <v>2048</v>
      </c>
      <c r="AB31" s="7">
        <f t="shared" si="13"/>
        <v>2049</v>
      </c>
      <c r="AC31" s="7">
        <f t="shared" si="13"/>
        <v>2050</v>
      </c>
      <c r="AD31" s="7">
        <f t="shared" si="13"/>
        <v>2051</v>
      </c>
      <c r="AE31" s="7">
        <f t="shared" si="13"/>
        <v>2052</v>
      </c>
      <c r="AF31" s="7">
        <f t="shared" si="13"/>
        <v>2053</v>
      </c>
      <c r="AG31" s="7">
        <f t="shared" si="13"/>
        <v>2054</v>
      </c>
      <c r="AH31" s="7">
        <f t="shared" ref="AH31:AL31" si="14">AH4</f>
        <v>2055</v>
      </c>
      <c r="AI31" s="7">
        <f t="shared" si="14"/>
        <v>2056</v>
      </c>
      <c r="AJ31" s="7">
        <f t="shared" si="14"/>
        <v>2057</v>
      </c>
      <c r="AK31" s="7">
        <f t="shared" si="14"/>
        <v>2058</v>
      </c>
      <c r="AL31" s="7">
        <f t="shared" si="14"/>
        <v>2059</v>
      </c>
    </row>
    <row r="32" spans="2:38" x14ac:dyDescent="0.2">
      <c r="B32" s="3" t="s">
        <v>187</v>
      </c>
      <c r="C32" s="117">
        <f>SUM(D32:AL32)</f>
        <v>102000000</v>
      </c>
      <c r="D32" s="117">
        <f>'05 Financovanie'!D25-'01 Investičné výdavky'!D13-'01 Investičné výdavky'!D14-'01 Investičné výdavky'!D16</f>
        <v>0</v>
      </c>
      <c r="E32" s="117">
        <f>'05 Financovanie'!E25-'01 Investičné výdavky'!E13-'01 Investičné výdavky'!E14-'01 Investičné výdavky'!E16</f>
        <v>20400000</v>
      </c>
      <c r="F32" s="117">
        <f>'05 Financovanie'!F25-'01 Investičné výdavky'!F13-'01 Investičné výdavky'!F14-'01 Investičné výdavky'!F16</f>
        <v>81600000</v>
      </c>
      <c r="G32" s="117">
        <f>'05 Financovanie'!G25-'01 Investičné výdavky'!G13-'01 Investičné výdavky'!G14-'01 Investičné výdavky'!G16</f>
        <v>0</v>
      </c>
      <c r="H32" s="117">
        <f>'05 Financovanie'!H25-'01 Investičné výdavky'!H13-'01 Investičné výdavky'!H14-'01 Investičné výdavky'!H16</f>
        <v>0</v>
      </c>
      <c r="I32" s="117">
        <f>'05 Financovanie'!I25-'01 Investičné výdavky'!I13-'01 Investičné výdavky'!I14-'01 Investičné výdavky'!I16</f>
        <v>0</v>
      </c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</row>
    <row r="33" spans="2:38" x14ac:dyDescent="0.2">
      <c r="B33" s="3" t="s">
        <v>170</v>
      </c>
      <c r="C33" s="117">
        <f t="shared" ref="C33:C39" si="15">SUM(D33:AL33)</f>
        <v>4863586.2604092592</v>
      </c>
      <c r="D33" s="117">
        <f>D7</f>
        <v>0</v>
      </c>
      <c r="E33" s="117">
        <f t="shared" ref="E33:AG33" si="16">E7</f>
        <v>0</v>
      </c>
      <c r="F33" s="117">
        <f t="shared" si="16"/>
        <v>0</v>
      </c>
      <c r="G33" s="117">
        <f t="shared" si="16"/>
        <v>153791.61586476211</v>
      </c>
      <c r="H33" s="117">
        <f t="shared" si="16"/>
        <v>153791.61586476211</v>
      </c>
      <c r="I33" s="117">
        <f t="shared" si="16"/>
        <v>153791.61586476211</v>
      </c>
      <c r="J33" s="117">
        <f t="shared" si="16"/>
        <v>153791.61586476211</v>
      </c>
      <c r="K33" s="117">
        <f t="shared" si="16"/>
        <v>153791.61586476211</v>
      </c>
      <c r="L33" s="117">
        <f t="shared" si="16"/>
        <v>153791.61586476211</v>
      </c>
      <c r="M33" s="117">
        <f t="shared" si="16"/>
        <v>153791.61586476211</v>
      </c>
      <c r="N33" s="117">
        <f t="shared" si="16"/>
        <v>153791.61586476211</v>
      </c>
      <c r="O33" s="117">
        <f t="shared" si="16"/>
        <v>153791.61586476211</v>
      </c>
      <c r="P33" s="117">
        <f t="shared" si="16"/>
        <v>153791.61586476211</v>
      </c>
      <c r="Q33" s="117">
        <f t="shared" si="16"/>
        <v>153791.61586476211</v>
      </c>
      <c r="R33" s="117">
        <f t="shared" si="16"/>
        <v>153791.61586476211</v>
      </c>
      <c r="S33" s="117">
        <f t="shared" si="16"/>
        <v>153791.61586476211</v>
      </c>
      <c r="T33" s="117">
        <f t="shared" si="16"/>
        <v>153484.03263303265</v>
      </c>
      <c r="U33" s="117">
        <f t="shared" si="16"/>
        <v>153177.06456776615</v>
      </c>
      <c r="V33" s="117">
        <f t="shared" si="16"/>
        <v>152870.71043863054</v>
      </c>
      <c r="W33" s="117">
        <f t="shared" si="16"/>
        <v>152564.96901775338</v>
      </c>
      <c r="X33" s="117">
        <f t="shared" si="16"/>
        <v>152259.83907971764</v>
      </c>
      <c r="Y33" s="117">
        <f t="shared" si="16"/>
        <v>151955.31940155802</v>
      </c>
      <c r="Z33" s="117">
        <f t="shared" si="16"/>
        <v>151651.4087627558</v>
      </c>
      <c r="AA33" s="117">
        <f t="shared" si="16"/>
        <v>151348.10594523046</v>
      </c>
      <c r="AB33" s="117">
        <f t="shared" si="16"/>
        <v>151045.40973333921</v>
      </c>
      <c r="AC33" s="117">
        <f t="shared" si="16"/>
        <v>150743.31891387235</v>
      </c>
      <c r="AD33" s="117">
        <f t="shared" si="16"/>
        <v>150441.83227604488</v>
      </c>
      <c r="AE33" s="117">
        <f t="shared" si="16"/>
        <v>150140.94861149276</v>
      </c>
      <c r="AF33" s="117">
        <f t="shared" si="16"/>
        <v>149840.66671426967</v>
      </c>
      <c r="AG33" s="117">
        <f t="shared" si="16"/>
        <v>149540.98538084188</v>
      </c>
      <c r="AH33" s="117">
        <f t="shared" ref="AH33:AL33" si="17">AH7</f>
        <v>149241.90341007989</v>
      </c>
      <c r="AI33" s="117">
        <f t="shared" si="17"/>
        <v>148943.41960325977</v>
      </c>
      <c r="AJ33" s="117">
        <f t="shared" si="17"/>
        <v>148645.53276405297</v>
      </c>
      <c r="AK33" s="117">
        <f t="shared" si="17"/>
        <v>148348.24169852491</v>
      </c>
      <c r="AL33" s="117">
        <f t="shared" si="17"/>
        <v>148051.54521512799</v>
      </c>
    </row>
    <row r="34" spans="2:38" x14ac:dyDescent="0.2">
      <c r="B34" s="4" t="s">
        <v>11</v>
      </c>
      <c r="C34" s="177">
        <f t="shared" si="15"/>
        <v>106863586.26040934</v>
      </c>
      <c r="D34" s="177">
        <f t="shared" ref="D34:AG34" si="18">SUM(D32:D33)</f>
        <v>0</v>
      </c>
      <c r="E34" s="177">
        <f t="shared" si="18"/>
        <v>20400000</v>
      </c>
      <c r="F34" s="177">
        <f t="shared" si="18"/>
        <v>81600000</v>
      </c>
      <c r="G34" s="177">
        <f t="shared" si="18"/>
        <v>153791.61586476211</v>
      </c>
      <c r="H34" s="177">
        <f t="shared" si="18"/>
        <v>153791.61586476211</v>
      </c>
      <c r="I34" s="177">
        <f t="shared" si="18"/>
        <v>153791.61586476211</v>
      </c>
      <c r="J34" s="177">
        <f t="shared" si="18"/>
        <v>153791.61586476211</v>
      </c>
      <c r="K34" s="177">
        <f t="shared" si="18"/>
        <v>153791.61586476211</v>
      </c>
      <c r="L34" s="177">
        <f t="shared" si="18"/>
        <v>153791.61586476211</v>
      </c>
      <c r="M34" s="177">
        <f t="shared" si="18"/>
        <v>153791.61586476211</v>
      </c>
      <c r="N34" s="177">
        <f t="shared" si="18"/>
        <v>153791.61586476211</v>
      </c>
      <c r="O34" s="177">
        <f t="shared" si="18"/>
        <v>153791.61586476211</v>
      </c>
      <c r="P34" s="177">
        <f t="shared" si="18"/>
        <v>153791.61586476211</v>
      </c>
      <c r="Q34" s="177">
        <f t="shared" si="18"/>
        <v>153791.61586476211</v>
      </c>
      <c r="R34" s="177">
        <f t="shared" si="18"/>
        <v>153791.61586476211</v>
      </c>
      <c r="S34" s="177">
        <f t="shared" si="18"/>
        <v>153791.61586476211</v>
      </c>
      <c r="T34" s="177">
        <f t="shared" si="18"/>
        <v>153484.03263303265</v>
      </c>
      <c r="U34" s="177">
        <f t="shared" si="18"/>
        <v>153177.06456776615</v>
      </c>
      <c r="V34" s="177">
        <f t="shared" si="18"/>
        <v>152870.71043863054</v>
      </c>
      <c r="W34" s="177">
        <f t="shared" si="18"/>
        <v>152564.96901775338</v>
      </c>
      <c r="X34" s="177">
        <f t="shared" si="18"/>
        <v>152259.83907971764</v>
      </c>
      <c r="Y34" s="177">
        <f t="shared" si="18"/>
        <v>151955.31940155802</v>
      </c>
      <c r="Z34" s="177">
        <f t="shared" si="18"/>
        <v>151651.4087627558</v>
      </c>
      <c r="AA34" s="177">
        <f t="shared" si="18"/>
        <v>151348.10594523046</v>
      </c>
      <c r="AB34" s="177">
        <f t="shared" si="18"/>
        <v>151045.40973333921</v>
      </c>
      <c r="AC34" s="177">
        <f t="shared" si="18"/>
        <v>150743.31891387235</v>
      </c>
      <c r="AD34" s="177">
        <f t="shared" si="18"/>
        <v>150441.83227604488</v>
      </c>
      <c r="AE34" s="177">
        <f t="shared" si="18"/>
        <v>150140.94861149276</v>
      </c>
      <c r="AF34" s="177">
        <f t="shared" si="18"/>
        <v>149840.66671426967</v>
      </c>
      <c r="AG34" s="177">
        <f t="shared" si="18"/>
        <v>149540.98538084188</v>
      </c>
      <c r="AH34" s="177">
        <f t="shared" ref="AH34:AL34" si="19">SUM(AH32:AH33)</f>
        <v>149241.90341007989</v>
      </c>
      <c r="AI34" s="177">
        <f t="shared" si="19"/>
        <v>148943.41960325977</v>
      </c>
      <c r="AJ34" s="177">
        <f t="shared" si="19"/>
        <v>148645.53276405297</v>
      </c>
      <c r="AK34" s="177">
        <f t="shared" si="19"/>
        <v>148348.24169852491</v>
      </c>
      <c r="AL34" s="177">
        <f t="shared" si="19"/>
        <v>148051.54521512799</v>
      </c>
    </row>
    <row r="35" spans="2:38" x14ac:dyDescent="0.2">
      <c r="B35" s="3" t="s">
        <v>58</v>
      </c>
      <c r="C35" s="117">
        <f t="shared" si="15"/>
        <v>102000000</v>
      </c>
      <c r="D35" s="117">
        <f>D5</f>
        <v>0</v>
      </c>
      <c r="E35" s="117">
        <f t="shared" ref="E35:I35" si="20">E5</f>
        <v>20400000</v>
      </c>
      <c r="F35" s="117">
        <f>F5</f>
        <v>81600000</v>
      </c>
      <c r="G35" s="117">
        <f t="shared" si="20"/>
        <v>0</v>
      </c>
      <c r="H35" s="117">
        <f t="shared" si="20"/>
        <v>0</v>
      </c>
      <c r="I35" s="117">
        <f t="shared" si="20"/>
        <v>0</v>
      </c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</row>
    <row r="36" spans="2:38" x14ac:dyDescent="0.2">
      <c r="B36" s="3" t="s">
        <v>57</v>
      </c>
      <c r="C36" s="117">
        <f t="shared" si="15"/>
        <v>70988846.415649876</v>
      </c>
      <c r="D36" s="117">
        <f>D6</f>
        <v>0</v>
      </c>
      <c r="E36" s="117">
        <f t="shared" ref="E36:AG36" si="21">E6</f>
        <v>0</v>
      </c>
      <c r="F36" s="117">
        <f t="shared" si="21"/>
        <v>0</v>
      </c>
      <c r="G36" s="117">
        <f t="shared" si="21"/>
        <v>948862.48957161047</v>
      </c>
      <c r="H36" s="117">
        <f t="shared" si="21"/>
        <v>959194.1433417201</v>
      </c>
      <c r="I36" s="117">
        <f t="shared" si="21"/>
        <v>969433.65366392955</v>
      </c>
      <c r="J36" s="117">
        <f t="shared" si="21"/>
        <v>979569.34443935007</v>
      </c>
      <c r="K36" s="117">
        <f t="shared" si="21"/>
        <v>989589.01253019273</v>
      </c>
      <c r="L36" s="117">
        <f t="shared" si="21"/>
        <v>997708.32109582797</v>
      </c>
      <c r="M36" s="117">
        <f t="shared" si="21"/>
        <v>-1538861.4957769066</v>
      </c>
      <c r="N36" s="117">
        <f t="shared" si="21"/>
        <v>-1525448.003205331</v>
      </c>
      <c r="O36" s="117">
        <f t="shared" si="21"/>
        <v>-1512063.8089306932</v>
      </c>
      <c r="P36" s="117">
        <f t="shared" si="21"/>
        <v>-1498722.2485481743</v>
      </c>
      <c r="Q36" s="117">
        <f t="shared" si="21"/>
        <v>1064562.5819242951</v>
      </c>
      <c r="R36" s="117">
        <f t="shared" si="21"/>
        <v>1077775.7921526525</v>
      </c>
      <c r="S36" s="117">
        <f t="shared" si="21"/>
        <v>1090901.662217306</v>
      </c>
      <c r="T36" s="117">
        <f t="shared" si="21"/>
        <v>1103923.6059144009</v>
      </c>
      <c r="U36" s="117">
        <f t="shared" si="21"/>
        <v>1114798.5172334127</v>
      </c>
      <c r="V36" s="117">
        <f t="shared" si="21"/>
        <v>1124765.4705314394</v>
      </c>
      <c r="W36" s="117">
        <f t="shared" si="21"/>
        <v>-5240627.1039689332</v>
      </c>
      <c r="X36" s="117">
        <f t="shared" si="21"/>
        <v>-5231412.4143074024</v>
      </c>
      <c r="Y36" s="117">
        <f t="shared" si="21"/>
        <v>132374.51066674106</v>
      </c>
      <c r="Z36" s="117">
        <f t="shared" si="21"/>
        <v>140696.73424813896</v>
      </c>
      <c r="AA36" s="117">
        <f t="shared" si="21"/>
        <v>6523515.3209017944</v>
      </c>
      <c r="AB36" s="117">
        <f t="shared" si="21"/>
        <v>6530789.2411906403</v>
      </c>
      <c r="AC36" s="117">
        <f t="shared" si="21"/>
        <v>1182475.2724250555</v>
      </c>
      <c r="AD36" s="117">
        <f t="shared" si="21"/>
        <v>1186107.0970089156</v>
      </c>
      <c r="AE36" s="117">
        <f t="shared" si="21"/>
        <v>1187502.0210766587</v>
      </c>
      <c r="AF36" s="117">
        <f t="shared" si="21"/>
        <v>1187827.0931713451</v>
      </c>
      <c r="AG36" s="117">
        <f t="shared" si="21"/>
        <v>-1362994.7174245045</v>
      </c>
      <c r="AH36" s="117">
        <f t="shared" ref="AH36:AL36" si="22">AH6</f>
        <v>-1365044.749405276</v>
      </c>
      <c r="AI36" s="117">
        <f t="shared" si="22"/>
        <v>13676591.128194187</v>
      </c>
      <c r="AJ36" s="117">
        <f t="shared" si="22"/>
        <v>13671822.282564774</v>
      </c>
      <c r="AK36" s="117">
        <f t="shared" si="22"/>
        <v>16215553.072079364</v>
      </c>
      <c r="AL36" s="117">
        <f t="shared" si="22"/>
        <v>16207682.589073341</v>
      </c>
    </row>
    <row r="37" spans="2:38" x14ac:dyDescent="0.2">
      <c r="B37" s="3" t="s">
        <v>181</v>
      </c>
      <c r="C37" s="117">
        <f t="shared" si="15"/>
        <v>0</v>
      </c>
      <c r="D37" s="117">
        <f>D20</f>
        <v>0</v>
      </c>
      <c r="E37" s="117">
        <f t="shared" ref="E37:AG37" si="23">E20</f>
        <v>0</v>
      </c>
      <c r="F37" s="117">
        <f t="shared" si="23"/>
        <v>0</v>
      </c>
      <c r="G37" s="117">
        <f t="shared" si="23"/>
        <v>0</v>
      </c>
      <c r="H37" s="117">
        <f t="shared" si="23"/>
        <v>0</v>
      </c>
      <c r="I37" s="117">
        <f t="shared" si="23"/>
        <v>0</v>
      </c>
      <c r="J37" s="117">
        <f t="shared" si="23"/>
        <v>0</v>
      </c>
      <c r="K37" s="117">
        <f t="shared" si="23"/>
        <v>0</v>
      </c>
      <c r="L37" s="117">
        <f t="shared" si="23"/>
        <v>0</v>
      </c>
      <c r="M37" s="117">
        <f t="shared" si="23"/>
        <v>0</v>
      </c>
      <c r="N37" s="117">
        <f t="shared" si="23"/>
        <v>0</v>
      </c>
      <c r="O37" s="117">
        <f t="shared" si="23"/>
        <v>0</v>
      </c>
      <c r="P37" s="117">
        <f t="shared" si="23"/>
        <v>0</v>
      </c>
      <c r="Q37" s="117">
        <f t="shared" si="23"/>
        <v>0</v>
      </c>
      <c r="R37" s="117">
        <f t="shared" si="23"/>
        <v>0</v>
      </c>
      <c r="S37" s="117">
        <f t="shared" si="23"/>
        <v>0</v>
      </c>
      <c r="T37" s="117">
        <f t="shared" si="23"/>
        <v>0</v>
      </c>
      <c r="U37" s="117">
        <f t="shared" si="23"/>
        <v>0</v>
      </c>
      <c r="V37" s="117">
        <f t="shared" si="23"/>
        <v>0</v>
      </c>
      <c r="W37" s="117">
        <f t="shared" si="23"/>
        <v>0</v>
      </c>
      <c r="X37" s="117">
        <f t="shared" si="23"/>
        <v>0</v>
      </c>
      <c r="Y37" s="117">
        <f t="shared" si="23"/>
        <v>0</v>
      </c>
      <c r="Z37" s="117">
        <f t="shared" si="23"/>
        <v>0</v>
      </c>
      <c r="AA37" s="117">
        <f t="shared" si="23"/>
        <v>0</v>
      </c>
      <c r="AB37" s="117">
        <f t="shared" si="23"/>
        <v>0</v>
      </c>
      <c r="AC37" s="117">
        <f t="shared" si="23"/>
        <v>0</v>
      </c>
      <c r="AD37" s="117">
        <f t="shared" si="23"/>
        <v>0</v>
      </c>
      <c r="AE37" s="117">
        <f t="shared" si="23"/>
        <v>0</v>
      </c>
      <c r="AF37" s="117">
        <f t="shared" si="23"/>
        <v>0</v>
      </c>
      <c r="AG37" s="117">
        <f t="shared" si="23"/>
        <v>0</v>
      </c>
      <c r="AH37" s="117">
        <f t="shared" ref="AH37:AL37" si="24">AH20</f>
        <v>0</v>
      </c>
      <c r="AI37" s="117">
        <f t="shared" si="24"/>
        <v>0</v>
      </c>
      <c r="AJ37" s="117">
        <f t="shared" si="24"/>
        <v>0</v>
      </c>
      <c r="AK37" s="117">
        <f t="shared" si="24"/>
        <v>0</v>
      </c>
      <c r="AL37" s="117">
        <f t="shared" si="24"/>
        <v>0</v>
      </c>
    </row>
    <row r="38" spans="2:38" x14ac:dyDescent="0.2">
      <c r="B38" s="4" t="s">
        <v>26</v>
      </c>
      <c r="C38" s="177">
        <f t="shared" si="15"/>
        <v>172988846.41564986</v>
      </c>
      <c r="D38" s="177">
        <f>SUM(D35:D37)</f>
        <v>0</v>
      </c>
      <c r="E38" s="177">
        <f t="shared" ref="E38:AG38" si="25">SUM(E35:E37)</f>
        <v>20400000</v>
      </c>
      <c r="F38" s="177">
        <f t="shared" si="25"/>
        <v>81600000</v>
      </c>
      <c r="G38" s="177">
        <f t="shared" si="25"/>
        <v>948862.48957161047</v>
      </c>
      <c r="H38" s="177">
        <f t="shared" si="25"/>
        <v>959194.1433417201</v>
      </c>
      <c r="I38" s="177">
        <f t="shared" si="25"/>
        <v>969433.65366392955</v>
      </c>
      <c r="J38" s="177">
        <f t="shared" si="25"/>
        <v>979569.34443935007</v>
      </c>
      <c r="K38" s="177">
        <f t="shared" si="25"/>
        <v>989589.01253019273</v>
      </c>
      <c r="L38" s="177">
        <f t="shared" si="25"/>
        <v>997708.32109582797</v>
      </c>
      <c r="M38" s="177">
        <f t="shared" si="25"/>
        <v>-1538861.4957769066</v>
      </c>
      <c r="N38" s="177">
        <f t="shared" si="25"/>
        <v>-1525448.003205331</v>
      </c>
      <c r="O38" s="177">
        <f t="shared" si="25"/>
        <v>-1512063.8089306932</v>
      </c>
      <c r="P38" s="177">
        <f t="shared" si="25"/>
        <v>-1498722.2485481743</v>
      </c>
      <c r="Q38" s="177">
        <f t="shared" si="25"/>
        <v>1064562.5819242951</v>
      </c>
      <c r="R38" s="177">
        <f t="shared" si="25"/>
        <v>1077775.7921526525</v>
      </c>
      <c r="S38" s="177">
        <f t="shared" si="25"/>
        <v>1090901.662217306</v>
      </c>
      <c r="T38" s="177">
        <f t="shared" si="25"/>
        <v>1103923.6059144009</v>
      </c>
      <c r="U38" s="177">
        <f t="shared" si="25"/>
        <v>1114798.5172334127</v>
      </c>
      <c r="V38" s="177">
        <f t="shared" si="25"/>
        <v>1124765.4705314394</v>
      </c>
      <c r="W38" s="177">
        <f t="shared" si="25"/>
        <v>-5240627.1039689332</v>
      </c>
      <c r="X38" s="177">
        <f t="shared" si="25"/>
        <v>-5231412.4143074024</v>
      </c>
      <c r="Y38" s="177">
        <f t="shared" si="25"/>
        <v>132374.51066674106</v>
      </c>
      <c r="Z38" s="177">
        <f t="shared" si="25"/>
        <v>140696.73424813896</v>
      </c>
      <c r="AA38" s="177">
        <f t="shared" si="25"/>
        <v>6523515.3209017944</v>
      </c>
      <c r="AB38" s="177">
        <f t="shared" si="25"/>
        <v>6530789.2411906403</v>
      </c>
      <c r="AC38" s="177">
        <f t="shared" si="25"/>
        <v>1182475.2724250555</v>
      </c>
      <c r="AD38" s="177">
        <f t="shared" si="25"/>
        <v>1186107.0970089156</v>
      </c>
      <c r="AE38" s="177">
        <f t="shared" si="25"/>
        <v>1187502.0210766587</v>
      </c>
      <c r="AF38" s="177">
        <f t="shared" si="25"/>
        <v>1187827.0931713451</v>
      </c>
      <c r="AG38" s="177">
        <f t="shared" si="25"/>
        <v>-1362994.7174245045</v>
      </c>
      <c r="AH38" s="177">
        <f t="shared" ref="AH38:AL38" si="26">SUM(AH35:AH37)</f>
        <v>-1365044.749405276</v>
      </c>
      <c r="AI38" s="177">
        <f t="shared" si="26"/>
        <v>13676591.128194187</v>
      </c>
      <c r="AJ38" s="177">
        <f t="shared" si="26"/>
        <v>13671822.282564774</v>
      </c>
      <c r="AK38" s="177">
        <f t="shared" si="26"/>
        <v>16215553.072079364</v>
      </c>
      <c r="AL38" s="177">
        <f t="shared" si="26"/>
        <v>16207682.589073341</v>
      </c>
    </row>
    <row r="39" spans="2:38" x14ac:dyDescent="0.2">
      <c r="B39" s="115" t="s">
        <v>47</v>
      </c>
      <c r="C39" s="178">
        <f t="shared" si="15"/>
        <v>-66125260.15524061</v>
      </c>
      <c r="D39" s="178">
        <f>D34-D38</f>
        <v>0</v>
      </c>
      <c r="E39" s="178">
        <f t="shared" ref="E39:AG39" si="27">E34-E38</f>
        <v>0</v>
      </c>
      <c r="F39" s="178">
        <f t="shared" si="27"/>
        <v>0</v>
      </c>
      <c r="G39" s="178">
        <f t="shared" si="27"/>
        <v>-795070.87370684836</v>
      </c>
      <c r="H39" s="178">
        <f t="shared" si="27"/>
        <v>-805402.527476958</v>
      </c>
      <c r="I39" s="178">
        <f t="shared" si="27"/>
        <v>-815642.03779916745</v>
      </c>
      <c r="J39" s="178">
        <f t="shared" si="27"/>
        <v>-825777.72857458796</v>
      </c>
      <c r="K39" s="178">
        <f t="shared" si="27"/>
        <v>-835797.39666543063</v>
      </c>
      <c r="L39" s="178">
        <f t="shared" si="27"/>
        <v>-843916.70523106586</v>
      </c>
      <c r="M39" s="178">
        <f t="shared" si="27"/>
        <v>1692653.1116416687</v>
      </c>
      <c r="N39" s="178">
        <f t="shared" si="27"/>
        <v>1679239.6190700931</v>
      </c>
      <c r="O39" s="178">
        <f t="shared" si="27"/>
        <v>1665855.4247954553</v>
      </c>
      <c r="P39" s="178">
        <f t="shared" si="27"/>
        <v>1652513.8644129364</v>
      </c>
      <c r="Q39" s="178">
        <f t="shared" si="27"/>
        <v>-910770.96605953295</v>
      </c>
      <c r="R39" s="178">
        <f t="shared" si="27"/>
        <v>-923984.17628789041</v>
      </c>
      <c r="S39" s="178">
        <f t="shared" si="27"/>
        <v>-937110.04635254387</v>
      </c>
      <c r="T39" s="178">
        <f t="shared" si="27"/>
        <v>-950439.57328136824</v>
      </c>
      <c r="U39" s="178">
        <f t="shared" si="27"/>
        <v>-961621.45266564656</v>
      </c>
      <c r="V39" s="178">
        <f t="shared" si="27"/>
        <v>-971894.76009280887</v>
      </c>
      <c r="W39" s="178">
        <f t="shared" si="27"/>
        <v>5393192.0729866866</v>
      </c>
      <c r="X39" s="178">
        <f t="shared" si="27"/>
        <v>5383672.2533871196</v>
      </c>
      <c r="Y39" s="178">
        <f t="shared" si="27"/>
        <v>19580.808734816965</v>
      </c>
      <c r="Z39" s="178">
        <f t="shared" si="27"/>
        <v>10954.67451461684</v>
      </c>
      <c r="AA39" s="178">
        <f t="shared" si="27"/>
        <v>-6372167.2149565639</v>
      </c>
      <c r="AB39" s="178">
        <f t="shared" si="27"/>
        <v>-6379743.831457301</v>
      </c>
      <c r="AC39" s="178">
        <f t="shared" si="27"/>
        <v>-1031731.9535111832</v>
      </c>
      <c r="AD39" s="178">
        <f t="shared" si="27"/>
        <v>-1035665.2647328707</v>
      </c>
      <c r="AE39" s="178">
        <f t="shared" si="27"/>
        <v>-1037361.072465166</v>
      </c>
      <c r="AF39" s="178">
        <f t="shared" si="27"/>
        <v>-1037986.4264570754</v>
      </c>
      <c r="AG39" s="178">
        <f t="shared" si="27"/>
        <v>1512535.7028053463</v>
      </c>
      <c r="AH39" s="178">
        <f t="shared" ref="AH39:AL39" si="28">AH34-AH38</f>
        <v>1514286.6528153559</v>
      </c>
      <c r="AI39" s="178">
        <f t="shared" si="28"/>
        <v>-13527647.708590927</v>
      </c>
      <c r="AJ39" s="178">
        <f t="shared" si="28"/>
        <v>-13523176.749800721</v>
      </c>
      <c r="AK39" s="178">
        <f t="shared" si="28"/>
        <v>-16067204.830380838</v>
      </c>
      <c r="AL39" s="178">
        <f t="shared" si="28"/>
        <v>-16059631.043858213</v>
      </c>
    </row>
    <row r="40" spans="2:38" x14ac:dyDescent="0.2">
      <c r="B40" s="3" t="s">
        <v>27</v>
      </c>
      <c r="C40" s="177"/>
      <c r="D40" s="117">
        <f>D39</f>
        <v>0</v>
      </c>
      <c r="E40" s="117">
        <f>D40+E39</f>
        <v>0</v>
      </c>
      <c r="F40" s="117">
        <f t="shared" ref="F40:AG40" si="29">E40+F39</f>
        <v>0</v>
      </c>
      <c r="G40" s="117">
        <f t="shared" si="29"/>
        <v>-795070.87370684836</v>
      </c>
      <c r="H40" s="117">
        <f t="shared" si="29"/>
        <v>-1600473.4011838064</v>
      </c>
      <c r="I40" s="117">
        <f t="shared" si="29"/>
        <v>-2416115.4389829738</v>
      </c>
      <c r="J40" s="117">
        <f t="shared" si="29"/>
        <v>-3241893.1675575618</v>
      </c>
      <c r="K40" s="117">
        <f t="shared" si="29"/>
        <v>-4077690.5642229924</v>
      </c>
      <c r="L40" s="117">
        <f t="shared" si="29"/>
        <v>-4921607.2694540583</v>
      </c>
      <c r="M40" s="117">
        <f t="shared" si="29"/>
        <v>-3228954.1578123895</v>
      </c>
      <c r="N40" s="117">
        <f t="shared" si="29"/>
        <v>-1549714.5387422964</v>
      </c>
      <c r="O40" s="117">
        <f t="shared" si="29"/>
        <v>116140.8860531589</v>
      </c>
      <c r="P40" s="117">
        <f t="shared" si="29"/>
        <v>1768654.7504660953</v>
      </c>
      <c r="Q40" s="117">
        <f t="shared" si="29"/>
        <v>857883.78440656234</v>
      </c>
      <c r="R40" s="117">
        <f t="shared" si="29"/>
        <v>-66100.391881328076</v>
      </c>
      <c r="S40" s="117">
        <f t="shared" si="29"/>
        <v>-1003210.4382338719</v>
      </c>
      <c r="T40" s="117">
        <f t="shared" si="29"/>
        <v>-1953650.0115152402</v>
      </c>
      <c r="U40" s="117">
        <f t="shared" si="29"/>
        <v>-2915271.4641808867</v>
      </c>
      <c r="V40" s="117">
        <f t="shared" si="29"/>
        <v>-3887166.2242736956</v>
      </c>
      <c r="W40" s="117">
        <f t="shared" si="29"/>
        <v>1506025.848712991</v>
      </c>
      <c r="X40" s="117">
        <f t="shared" si="29"/>
        <v>6889698.1021001106</v>
      </c>
      <c r="Y40" s="117">
        <f t="shared" si="29"/>
        <v>6909278.9108349271</v>
      </c>
      <c r="Z40" s="117">
        <f t="shared" si="29"/>
        <v>6920233.585349544</v>
      </c>
      <c r="AA40" s="117">
        <f t="shared" si="29"/>
        <v>548066.37039298005</v>
      </c>
      <c r="AB40" s="117">
        <f t="shared" si="29"/>
        <v>-5831677.461064321</v>
      </c>
      <c r="AC40" s="117">
        <f t="shared" si="29"/>
        <v>-6863409.4145755041</v>
      </c>
      <c r="AD40" s="117">
        <f t="shared" si="29"/>
        <v>-7899074.6793083753</v>
      </c>
      <c r="AE40" s="117">
        <f t="shared" si="29"/>
        <v>-8936435.7517735418</v>
      </c>
      <c r="AF40" s="117">
        <f t="shared" si="29"/>
        <v>-9974422.1782306172</v>
      </c>
      <c r="AG40" s="117">
        <f t="shared" si="29"/>
        <v>-8461886.4754252713</v>
      </c>
      <c r="AH40" s="117">
        <f t="shared" ref="AH40" si="30">AG40+AH39</f>
        <v>-6947599.8226099154</v>
      </c>
      <c r="AI40" s="117">
        <f t="shared" ref="AI40" si="31">AH40+AI39</f>
        <v>-20475247.531200841</v>
      </c>
      <c r="AJ40" s="117">
        <f t="shared" ref="AJ40" si="32">AI40+AJ39</f>
        <v>-33998424.28100156</v>
      </c>
      <c r="AK40" s="117">
        <f t="shared" ref="AK40" si="33">AJ40+AK39</f>
        <v>-50065629.111382395</v>
      </c>
      <c r="AL40" s="117">
        <f t="shared" ref="AL40" si="34">AK40+AL39</f>
        <v>-66125260.15524061</v>
      </c>
    </row>
    <row r="41" spans="2:38" x14ac:dyDescent="0.2">
      <c r="B41" s="3" t="s">
        <v>189</v>
      </c>
      <c r="C41" s="177">
        <f>SUM(D41:AL41)</f>
        <v>0</v>
      </c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</row>
    <row r="42" spans="2:38" x14ac:dyDescent="0.2">
      <c r="B42" s="28" t="s">
        <v>190</v>
      </c>
      <c r="C42" s="179"/>
      <c r="D42" s="179">
        <f>D39+D41</f>
        <v>0</v>
      </c>
      <c r="E42" s="179">
        <f>D42+E39+E41</f>
        <v>0</v>
      </c>
      <c r="F42" s="179">
        <f t="shared" ref="F42:AG42" si="35">E42+F39+F41</f>
        <v>0</v>
      </c>
      <c r="G42" s="179">
        <f t="shared" si="35"/>
        <v>-795070.87370684836</v>
      </c>
      <c r="H42" s="179">
        <f t="shared" si="35"/>
        <v>-1600473.4011838064</v>
      </c>
      <c r="I42" s="179">
        <f t="shared" si="35"/>
        <v>-2416115.4389829738</v>
      </c>
      <c r="J42" s="179">
        <f t="shared" si="35"/>
        <v>-3241893.1675575618</v>
      </c>
      <c r="K42" s="179">
        <f t="shared" si="35"/>
        <v>-4077690.5642229924</v>
      </c>
      <c r="L42" s="179">
        <f t="shared" si="35"/>
        <v>-4921607.2694540583</v>
      </c>
      <c r="M42" s="179">
        <f t="shared" si="35"/>
        <v>-3228954.1578123895</v>
      </c>
      <c r="N42" s="179">
        <f t="shared" si="35"/>
        <v>-1549714.5387422964</v>
      </c>
      <c r="O42" s="179">
        <f t="shared" si="35"/>
        <v>116140.8860531589</v>
      </c>
      <c r="P42" s="179">
        <f t="shared" si="35"/>
        <v>1768654.7504660953</v>
      </c>
      <c r="Q42" s="179">
        <f t="shared" si="35"/>
        <v>857883.78440656234</v>
      </c>
      <c r="R42" s="179">
        <f t="shared" si="35"/>
        <v>-66100.391881328076</v>
      </c>
      <c r="S42" s="179">
        <f t="shared" si="35"/>
        <v>-1003210.4382338719</v>
      </c>
      <c r="T42" s="179">
        <f t="shared" si="35"/>
        <v>-1953650.0115152402</v>
      </c>
      <c r="U42" s="179">
        <f t="shared" si="35"/>
        <v>-2915271.4641808867</v>
      </c>
      <c r="V42" s="179">
        <f t="shared" si="35"/>
        <v>-3887166.2242736956</v>
      </c>
      <c r="W42" s="179">
        <f t="shared" si="35"/>
        <v>1506025.848712991</v>
      </c>
      <c r="X42" s="179">
        <f t="shared" si="35"/>
        <v>6889698.1021001106</v>
      </c>
      <c r="Y42" s="179">
        <f t="shared" si="35"/>
        <v>6909278.9108349271</v>
      </c>
      <c r="Z42" s="179">
        <f t="shared" si="35"/>
        <v>6920233.585349544</v>
      </c>
      <c r="AA42" s="179">
        <f t="shared" si="35"/>
        <v>548066.37039298005</v>
      </c>
      <c r="AB42" s="179">
        <f t="shared" si="35"/>
        <v>-5831677.461064321</v>
      </c>
      <c r="AC42" s="179">
        <f t="shared" si="35"/>
        <v>-6863409.4145755041</v>
      </c>
      <c r="AD42" s="179">
        <f t="shared" si="35"/>
        <v>-7899074.6793083753</v>
      </c>
      <c r="AE42" s="179">
        <f t="shared" si="35"/>
        <v>-8936435.7517735418</v>
      </c>
      <c r="AF42" s="179">
        <f t="shared" si="35"/>
        <v>-9974422.1782306172</v>
      </c>
      <c r="AG42" s="179">
        <f t="shared" si="35"/>
        <v>-8461886.4754252713</v>
      </c>
      <c r="AH42" s="179">
        <f t="shared" ref="AH42" si="36">AG42+AH39+AH41</f>
        <v>-6947599.8226099154</v>
      </c>
      <c r="AI42" s="179">
        <f t="shared" ref="AI42" si="37">AH42+AI39+AI41</f>
        <v>-20475247.531200841</v>
      </c>
      <c r="AJ42" s="179">
        <f t="shared" ref="AJ42" si="38">AI42+AJ39+AJ41</f>
        <v>-33998424.28100156</v>
      </c>
      <c r="AK42" s="179">
        <f t="shared" ref="AK42" si="39">AJ42+AK39+AK41</f>
        <v>-50065629.111382395</v>
      </c>
      <c r="AL42" s="179">
        <f t="shared" ref="AL42" si="40">AK42+AL39+AL41</f>
        <v>-66125260.15524061</v>
      </c>
    </row>
    <row r="45" spans="2:38" x14ac:dyDescent="0.2">
      <c r="B45" s="15" t="s">
        <v>193</v>
      </c>
      <c r="C45" s="15"/>
      <c r="D45" s="3" t="s">
        <v>10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2:38" x14ac:dyDescent="0.2">
      <c r="B46" s="4"/>
      <c r="C46" s="4"/>
      <c r="D46" s="5">
        <v>1</v>
      </c>
      <c r="E46" s="5">
        <v>2</v>
      </c>
      <c r="F46" s="5">
        <v>3</v>
      </c>
      <c r="G46" s="5">
        <v>4</v>
      </c>
      <c r="H46" s="5">
        <v>5</v>
      </c>
      <c r="I46" s="5">
        <v>6</v>
      </c>
      <c r="J46" s="5">
        <v>7</v>
      </c>
      <c r="K46" s="5">
        <v>8</v>
      </c>
      <c r="L46" s="5">
        <v>9</v>
      </c>
      <c r="M46" s="5">
        <v>10</v>
      </c>
      <c r="N46" s="5">
        <v>11</v>
      </c>
      <c r="O46" s="5">
        <v>12</v>
      </c>
      <c r="P46" s="5">
        <v>13</v>
      </c>
      <c r="Q46" s="5">
        <v>14</v>
      </c>
      <c r="R46" s="5">
        <v>15</v>
      </c>
      <c r="S46" s="5">
        <v>16</v>
      </c>
      <c r="T46" s="5">
        <v>17</v>
      </c>
      <c r="U46" s="5">
        <v>18</v>
      </c>
      <c r="V46" s="5">
        <v>19</v>
      </c>
      <c r="W46" s="5">
        <v>20</v>
      </c>
      <c r="X46" s="5">
        <v>21</v>
      </c>
      <c r="Y46" s="5">
        <v>22</v>
      </c>
      <c r="Z46" s="5">
        <v>23</v>
      </c>
      <c r="AA46" s="5">
        <v>24</v>
      </c>
      <c r="AB46" s="5">
        <v>25</v>
      </c>
      <c r="AC46" s="5">
        <v>26</v>
      </c>
      <c r="AD46" s="5">
        <v>27</v>
      </c>
      <c r="AE46" s="5">
        <v>28</v>
      </c>
      <c r="AF46" s="5">
        <v>29</v>
      </c>
      <c r="AG46" s="5">
        <v>30</v>
      </c>
      <c r="AH46" s="5">
        <v>31</v>
      </c>
      <c r="AI46" s="5">
        <v>32</v>
      </c>
      <c r="AJ46" s="5">
        <v>33</v>
      </c>
      <c r="AK46" s="5">
        <v>34</v>
      </c>
      <c r="AL46" s="5">
        <v>35</v>
      </c>
    </row>
    <row r="47" spans="2:38" x14ac:dyDescent="0.2">
      <c r="B47" s="6" t="s">
        <v>39</v>
      </c>
      <c r="C47" s="111" t="s">
        <v>9</v>
      </c>
      <c r="D47" s="7">
        <f>D4</f>
        <v>2025</v>
      </c>
      <c r="E47" s="7">
        <f t="shared" ref="E47:AG47" si="41">E4</f>
        <v>2026</v>
      </c>
      <c r="F47" s="7">
        <f t="shared" si="41"/>
        <v>2027</v>
      </c>
      <c r="G47" s="7">
        <f t="shared" si="41"/>
        <v>2028</v>
      </c>
      <c r="H47" s="7">
        <f t="shared" si="41"/>
        <v>2029</v>
      </c>
      <c r="I47" s="7">
        <f t="shared" si="41"/>
        <v>2030</v>
      </c>
      <c r="J47" s="7">
        <f t="shared" si="41"/>
        <v>2031</v>
      </c>
      <c r="K47" s="7">
        <f t="shared" si="41"/>
        <v>2032</v>
      </c>
      <c r="L47" s="7">
        <f t="shared" si="41"/>
        <v>2033</v>
      </c>
      <c r="M47" s="7">
        <f t="shared" si="41"/>
        <v>2034</v>
      </c>
      <c r="N47" s="7">
        <f t="shared" si="41"/>
        <v>2035</v>
      </c>
      <c r="O47" s="7">
        <f t="shared" si="41"/>
        <v>2036</v>
      </c>
      <c r="P47" s="7">
        <f t="shared" si="41"/>
        <v>2037</v>
      </c>
      <c r="Q47" s="7">
        <f t="shared" si="41"/>
        <v>2038</v>
      </c>
      <c r="R47" s="7">
        <f t="shared" si="41"/>
        <v>2039</v>
      </c>
      <c r="S47" s="7">
        <f t="shared" si="41"/>
        <v>2040</v>
      </c>
      <c r="T47" s="7">
        <f t="shared" si="41"/>
        <v>2041</v>
      </c>
      <c r="U47" s="7">
        <f t="shared" si="41"/>
        <v>2042</v>
      </c>
      <c r="V47" s="7">
        <f t="shared" si="41"/>
        <v>2043</v>
      </c>
      <c r="W47" s="7">
        <f t="shared" si="41"/>
        <v>2044</v>
      </c>
      <c r="X47" s="7">
        <f t="shared" si="41"/>
        <v>2045</v>
      </c>
      <c r="Y47" s="7">
        <f t="shared" si="41"/>
        <v>2046</v>
      </c>
      <c r="Z47" s="7">
        <f t="shared" si="41"/>
        <v>2047</v>
      </c>
      <c r="AA47" s="7">
        <f t="shared" si="41"/>
        <v>2048</v>
      </c>
      <c r="AB47" s="7">
        <f t="shared" si="41"/>
        <v>2049</v>
      </c>
      <c r="AC47" s="7">
        <f t="shared" si="41"/>
        <v>2050</v>
      </c>
      <c r="AD47" s="7">
        <f t="shared" si="41"/>
        <v>2051</v>
      </c>
      <c r="AE47" s="7">
        <f t="shared" si="41"/>
        <v>2052</v>
      </c>
      <c r="AF47" s="7">
        <f t="shared" si="41"/>
        <v>2053</v>
      </c>
      <c r="AG47" s="7">
        <f t="shared" si="41"/>
        <v>2054</v>
      </c>
      <c r="AH47" s="7">
        <f t="shared" ref="AH47:AL47" si="42">AH4</f>
        <v>2055</v>
      </c>
      <c r="AI47" s="7">
        <f t="shared" si="42"/>
        <v>2056</v>
      </c>
      <c r="AJ47" s="7">
        <f t="shared" si="42"/>
        <v>2057</v>
      </c>
      <c r="AK47" s="7">
        <f t="shared" si="42"/>
        <v>2058</v>
      </c>
      <c r="AL47" s="7">
        <f t="shared" si="42"/>
        <v>2059</v>
      </c>
    </row>
    <row r="48" spans="2:38" x14ac:dyDescent="0.2">
      <c r="B48" s="3" t="s">
        <v>187</v>
      </c>
      <c r="C48" s="117">
        <f>SUM(D48:AL48)</f>
        <v>102000000</v>
      </c>
      <c r="D48" s="117">
        <f>'05 Financovanie'!D25-'01 Investičné výdavky'!D13-'01 Investičné výdavky'!D14-'01 Investičné výdavky'!D16</f>
        <v>0</v>
      </c>
      <c r="E48" s="117">
        <f>'05 Financovanie'!E25-'01 Investičné výdavky'!E13-'01 Investičné výdavky'!E14-'01 Investičné výdavky'!E16</f>
        <v>20400000</v>
      </c>
      <c r="F48" s="117">
        <f>'05 Financovanie'!F25-'01 Investičné výdavky'!F13-'01 Investičné výdavky'!F14-'01 Investičné výdavky'!F16</f>
        <v>81600000</v>
      </c>
      <c r="G48" s="117">
        <f>'05 Financovanie'!G25-'01 Investičné výdavky'!G13-'01 Investičné výdavky'!G14-'01 Investičné výdavky'!G16</f>
        <v>0</v>
      </c>
      <c r="H48" s="117">
        <f>'05 Financovanie'!H25-'01 Investičné výdavky'!H13-'01 Investičné výdavky'!H14-'01 Investičné výdavky'!H16</f>
        <v>0</v>
      </c>
      <c r="I48" s="117">
        <f>'05 Financovanie'!I25-'01 Investičné výdavky'!I13-'01 Investičné výdavky'!I14-'01 Investičné výdavky'!I16</f>
        <v>0</v>
      </c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</row>
    <row r="49" spans="2:38" x14ac:dyDescent="0.2">
      <c r="B49" s="116" t="s">
        <v>192</v>
      </c>
      <c r="C49" s="176">
        <f t="shared" ref="C49:C55" si="43">SUM(D49:AL49)</f>
        <v>148121010.51766366</v>
      </c>
      <c r="D49" s="176">
        <f>'04 Prevádzkové príjmy'!D15</f>
        <v>4129550.5215018122</v>
      </c>
      <c r="E49" s="176">
        <f>'04 Prevádzkové príjmy'!E15</f>
        <v>4133680.0720233135</v>
      </c>
      <c r="F49" s="176">
        <f>'04 Prevádzkové príjmy'!F15</f>
        <v>4137813.7520953361</v>
      </c>
      <c r="G49" s="176">
        <f>'04 Prevádzkové príjmy'!G15</f>
        <v>4291605.3679600982</v>
      </c>
      <c r="H49" s="176">
        <f>'04 Prevádzkové príjmy'!H15</f>
        <v>4291605.3679600982</v>
      </c>
      <c r="I49" s="176">
        <f>'04 Prevádzkové príjmy'!I15</f>
        <v>4291605.3679600982</v>
      </c>
      <c r="J49" s="176">
        <f>'04 Prevádzkové príjmy'!J15</f>
        <v>4291605.3679600982</v>
      </c>
      <c r="K49" s="176">
        <f>'04 Prevádzkové príjmy'!K15</f>
        <v>4291605.3679600982</v>
      </c>
      <c r="L49" s="176">
        <f>'04 Prevádzkové príjmy'!L15</f>
        <v>4291605.3679600982</v>
      </c>
      <c r="M49" s="176">
        <f>'04 Prevádzkové príjmy'!M15</f>
        <v>4291605.3679600982</v>
      </c>
      <c r="N49" s="176">
        <f>'04 Prevádzkové príjmy'!N15</f>
        <v>4291605.3679600982</v>
      </c>
      <c r="O49" s="176">
        <f>'04 Prevádzkové príjmy'!O15</f>
        <v>4291605.3679600982</v>
      </c>
      <c r="P49" s="176">
        <f>'04 Prevádzkové príjmy'!P15</f>
        <v>4291605.3679600982</v>
      </c>
      <c r="Q49" s="176">
        <f>'04 Prevádzkové príjmy'!Q15</f>
        <v>4291605.3679600982</v>
      </c>
      <c r="R49" s="176">
        <f>'04 Prevádzkové príjmy'!R15</f>
        <v>4291605.3679600982</v>
      </c>
      <c r="S49" s="176">
        <f>'04 Prevádzkové príjmy'!S15</f>
        <v>4291605.3679600982</v>
      </c>
      <c r="T49" s="176">
        <f>'04 Prevádzkové príjmy'!T15</f>
        <v>4283022.1572241783</v>
      </c>
      <c r="U49" s="176">
        <f>'04 Prevádzkové príjmy'!U15</f>
        <v>4274456.1129097296</v>
      </c>
      <c r="V49" s="176">
        <f>'04 Prevádzkové príjmy'!V15</f>
        <v>4265907.2006839104</v>
      </c>
      <c r="W49" s="176">
        <f>'04 Prevádzkové príjmy'!W15</f>
        <v>4257375.3862825427</v>
      </c>
      <c r="X49" s="176">
        <f>'04 Prevádzkové príjmy'!X15</f>
        <v>4248860.6355099771</v>
      </c>
      <c r="Y49" s="176">
        <f>'04 Prevádzkové príjmy'!Y15</f>
        <v>4240362.9142389568</v>
      </c>
      <c r="Z49" s="176">
        <f>'04 Prevádzkové príjmy'!Z15</f>
        <v>4231882.1884104796</v>
      </c>
      <c r="AA49" s="176">
        <f>'04 Prevádzkové príjmy'!AA15</f>
        <v>4223418.4240336586</v>
      </c>
      <c r="AB49" s="176">
        <f>'04 Prevádzkové príjmy'!AB15</f>
        <v>4214971.5871855905</v>
      </c>
      <c r="AC49" s="176">
        <f>'04 Prevádzkové príjmy'!AC15</f>
        <v>4206541.644011219</v>
      </c>
      <c r="AD49" s="176">
        <f>'04 Prevádzkové príjmy'!AD15</f>
        <v>4198128.5607231967</v>
      </c>
      <c r="AE49" s="176">
        <f>'04 Prevádzkové príjmy'!AE15</f>
        <v>4189732.3036017502</v>
      </c>
      <c r="AF49" s="176">
        <f>'04 Prevádzkové príjmy'!AF15</f>
        <v>4181352.8389945468</v>
      </c>
      <c r="AG49" s="176">
        <f>'04 Prevádzkové príjmy'!AG15</f>
        <v>4172990.1333165583</v>
      </c>
      <c r="AH49" s="176">
        <f>'04 Prevádzkové príjmy'!AH15</f>
        <v>4164644.1530499249</v>
      </c>
      <c r="AI49" s="176">
        <f>'04 Prevádzkové príjmy'!AI15</f>
        <v>4156314.864743825</v>
      </c>
      <c r="AJ49" s="176">
        <f>'04 Prevádzkové príjmy'!AJ15</f>
        <v>4148002.2350143376</v>
      </c>
      <c r="AK49" s="176">
        <f>'04 Prevádzkové príjmy'!AK15</f>
        <v>4139706.2305443087</v>
      </c>
      <c r="AL49" s="176">
        <f>'04 Prevádzkové príjmy'!AL15</f>
        <v>4131426.8180832202</v>
      </c>
    </row>
    <row r="50" spans="2:38" x14ac:dyDescent="0.2">
      <c r="B50" s="4" t="s">
        <v>11</v>
      </c>
      <c r="C50" s="117">
        <f t="shared" si="43"/>
        <v>250121010.51766363</v>
      </c>
      <c r="D50" s="177">
        <f>SUM(D48:D49)</f>
        <v>4129550.5215018122</v>
      </c>
      <c r="E50" s="177">
        <f t="shared" ref="E50" si="44">SUM(E48:E49)</f>
        <v>24533680.072023313</v>
      </c>
      <c r="F50" s="177">
        <f t="shared" ref="F50" si="45">SUM(F48:F49)</f>
        <v>85737813.752095342</v>
      </c>
      <c r="G50" s="177">
        <f t="shared" ref="G50" si="46">SUM(G48:G49)</f>
        <v>4291605.3679600982</v>
      </c>
      <c r="H50" s="177">
        <f t="shared" ref="H50" si="47">SUM(H48:H49)</f>
        <v>4291605.3679600982</v>
      </c>
      <c r="I50" s="177">
        <f t="shared" ref="I50" si="48">SUM(I48:I49)</f>
        <v>4291605.3679600982</v>
      </c>
      <c r="J50" s="177">
        <f t="shared" ref="J50" si="49">SUM(J48:J49)</f>
        <v>4291605.3679600982</v>
      </c>
      <c r="K50" s="177">
        <f t="shared" ref="K50" si="50">SUM(K48:K49)</f>
        <v>4291605.3679600982</v>
      </c>
      <c r="L50" s="177">
        <f t="shared" ref="L50" si="51">SUM(L48:L49)</f>
        <v>4291605.3679600982</v>
      </c>
      <c r="M50" s="177">
        <f t="shared" ref="M50" si="52">SUM(M48:M49)</f>
        <v>4291605.3679600982</v>
      </c>
      <c r="N50" s="177">
        <f t="shared" ref="N50" si="53">SUM(N48:N49)</f>
        <v>4291605.3679600982</v>
      </c>
      <c r="O50" s="177">
        <f t="shared" ref="O50" si="54">SUM(O48:O49)</f>
        <v>4291605.3679600982</v>
      </c>
      <c r="P50" s="177">
        <f t="shared" ref="P50" si="55">SUM(P48:P49)</f>
        <v>4291605.3679600982</v>
      </c>
      <c r="Q50" s="177">
        <f t="shared" ref="Q50" si="56">SUM(Q48:Q49)</f>
        <v>4291605.3679600982</v>
      </c>
      <c r="R50" s="177">
        <f t="shared" ref="R50" si="57">SUM(R48:R49)</f>
        <v>4291605.3679600982</v>
      </c>
      <c r="S50" s="177">
        <f t="shared" ref="S50" si="58">SUM(S48:S49)</f>
        <v>4291605.3679600982</v>
      </c>
      <c r="T50" s="177">
        <f t="shared" ref="T50" si="59">SUM(T48:T49)</f>
        <v>4283022.1572241783</v>
      </c>
      <c r="U50" s="177">
        <f t="shared" ref="U50" si="60">SUM(U48:U49)</f>
        <v>4274456.1129097296</v>
      </c>
      <c r="V50" s="177">
        <f t="shared" ref="V50" si="61">SUM(V48:V49)</f>
        <v>4265907.2006839104</v>
      </c>
      <c r="W50" s="177">
        <f t="shared" ref="W50" si="62">SUM(W48:W49)</f>
        <v>4257375.3862825427</v>
      </c>
      <c r="X50" s="177">
        <f t="shared" ref="X50" si="63">SUM(X48:X49)</f>
        <v>4248860.6355099771</v>
      </c>
      <c r="Y50" s="177">
        <f t="shared" ref="Y50" si="64">SUM(Y48:Y49)</f>
        <v>4240362.9142389568</v>
      </c>
      <c r="Z50" s="177">
        <f t="shared" ref="Z50" si="65">SUM(Z48:Z49)</f>
        <v>4231882.1884104796</v>
      </c>
      <c r="AA50" s="177">
        <f t="shared" ref="AA50" si="66">SUM(AA48:AA49)</f>
        <v>4223418.4240336586</v>
      </c>
      <c r="AB50" s="177">
        <f t="shared" ref="AB50" si="67">SUM(AB48:AB49)</f>
        <v>4214971.5871855905</v>
      </c>
      <c r="AC50" s="177">
        <f t="shared" ref="AC50" si="68">SUM(AC48:AC49)</f>
        <v>4206541.644011219</v>
      </c>
      <c r="AD50" s="177">
        <f t="shared" ref="AD50" si="69">SUM(AD48:AD49)</f>
        <v>4198128.5607231967</v>
      </c>
      <c r="AE50" s="177">
        <f t="shared" ref="AE50" si="70">SUM(AE48:AE49)</f>
        <v>4189732.3036017502</v>
      </c>
      <c r="AF50" s="177">
        <f t="shared" ref="AF50" si="71">SUM(AF48:AF49)</f>
        <v>4181352.8389945468</v>
      </c>
      <c r="AG50" s="177">
        <f t="shared" ref="AG50:AL50" si="72">SUM(AG48:AG49)</f>
        <v>4172990.1333165583</v>
      </c>
      <c r="AH50" s="177">
        <f t="shared" si="72"/>
        <v>4164644.1530499249</v>
      </c>
      <c r="AI50" s="177">
        <f t="shared" si="72"/>
        <v>4156314.864743825</v>
      </c>
      <c r="AJ50" s="177">
        <f t="shared" si="72"/>
        <v>4148002.2350143376</v>
      </c>
      <c r="AK50" s="177">
        <f t="shared" si="72"/>
        <v>4139706.2305443087</v>
      </c>
      <c r="AL50" s="177">
        <f t="shared" si="72"/>
        <v>4131426.8180832202</v>
      </c>
    </row>
    <row r="51" spans="2:38" x14ac:dyDescent="0.2">
      <c r="B51" s="3" t="s">
        <v>58</v>
      </c>
      <c r="C51" s="117">
        <f t="shared" si="43"/>
        <v>102000000</v>
      </c>
      <c r="D51" s="117">
        <f>D5</f>
        <v>0</v>
      </c>
      <c r="E51" s="117">
        <f>E5</f>
        <v>20400000</v>
      </c>
      <c r="F51" s="117">
        <f t="shared" ref="F51:I51" si="73">F5</f>
        <v>81600000</v>
      </c>
      <c r="G51" s="117">
        <f t="shared" si="73"/>
        <v>0</v>
      </c>
      <c r="H51" s="117">
        <f t="shared" si="73"/>
        <v>0</v>
      </c>
      <c r="I51" s="117">
        <f t="shared" si="73"/>
        <v>0</v>
      </c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</row>
    <row r="52" spans="2:38" x14ac:dyDescent="0.2">
      <c r="B52" s="116" t="s">
        <v>191</v>
      </c>
      <c r="C52" s="176">
        <f t="shared" si="43"/>
        <v>605473634.26319408</v>
      </c>
      <c r="D52" s="176">
        <f>'03 Prevádzkové výdavky'!D21</f>
        <v>10804450.148465233</v>
      </c>
      <c r="E52" s="176">
        <f>'03 Prevádzkové výdavky'!E21</f>
        <v>10941902.099054523</v>
      </c>
      <c r="F52" s="176">
        <f>'03 Prevádzkové výdavky'!F21</f>
        <v>11082036.014324727</v>
      </c>
      <c r="G52" s="176">
        <f>'03 Prevádzkové výdavky'!G21</f>
        <v>12173773.832425959</v>
      </c>
      <c r="H52" s="176">
        <f>'03 Prevádzkové výdavky'!H21</f>
        <v>12329783.098804396</v>
      </c>
      <c r="I52" s="176">
        <f>'03 Prevádzkové výdavky'!I21</f>
        <v>12488564.834810406</v>
      </c>
      <c r="J52" s="176">
        <f>'03 Prevádzkové výdavky'!J21</f>
        <v>12650171.188403958</v>
      </c>
      <c r="K52" s="176">
        <f>'03 Prevádzkové výdavky'!K21</f>
        <v>12814655.313426659</v>
      </c>
      <c r="L52" s="176">
        <f>'03 Prevádzkové výdavky'!L21</f>
        <v>12982071.389253855</v>
      </c>
      <c r="M52" s="176">
        <f>'03 Prevádzkové výdavky'!M21</f>
        <v>13164000.71467348</v>
      </c>
      <c r="N52" s="176">
        <f>'03 Prevádzkové výdavky'!N21</f>
        <v>13349549.81049186</v>
      </c>
      <c r="O52" s="176">
        <f>'03 Prevádzkové výdavky'!O21</f>
        <v>13538797.954045394</v>
      </c>
      <c r="P52" s="176">
        <f>'03 Prevádzkové výdavky'!P21</f>
        <v>13731826.279953184</v>
      </c>
      <c r="Q52" s="176">
        <f>'03 Prevádzkové výdavky'!Q21</f>
        <v>13928717.826101396</v>
      </c>
      <c r="R52" s="176">
        <f>'03 Prevádzkové výdavky'!R21</f>
        <v>14129557.580820808</v>
      </c>
      <c r="S52" s="176">
        <f>'03 Prevádzkové výdavky'!S21</f>
        <v>14334432.531289613</v>
      </c>
      <c r="T52" s="176">
        <f>'03 Prevádzkové výdavky'!T21</f>
        <v>14543431.713194618</v>
      </c>
      <c r="U52" s="176">
        <f>'03 Prevádzkové výdavky'!U21</f>
        <v>14756646.261684811</v>
      </c>
      <c r="V52" s="176">
        <f>'03 Prevádzkové výdavky'!V21</f>
        <v>14981688.919682769</v>
      </c>
      <c r="W52" s="176">
        <f>'03 Prevádzkové výdavky'!W21</f>
        <v>15211624.488079058</v>
      </c>
      <c r="X52" s="176">
        <f>'03 Prevádzkové výdavky'!X21</f>
        <v>15446574.593856962</v>
      </c>
      <c r="Y52" s="176">
        <f>'03 Prevádzkové výdavky'!Y21</f>
        <v>21041664.219538137</v>
      </c>
      <c r="Z52" s="176">
        <f>'03 Prevádzkové výdavky'!Z21</f>
        <v>21287021.803584479</v>
      </c>
      <c r="AA52" s="176">
        <f>'03 Prevádzkové výdavky'!AA21</f>
        <v>21537779.343985364</v>
      </c>
      <c r="AB52" s="176">
        <f>'03 Prevádzkové výdavky'!AB21</f>
        <v>21794072.505135298</v>
      </c>
      <c r="AC52" s="176">
        <f>'03 Prevádzkové výdavky'!AC21</f>
        <v>16701040.728110589</v>
      </c>
      <c r="AD52" s="176">
        <f>'03 Prevádzkové výdavky'!AD21</f>
        <v>16968827.344457369</v>
      </c>
      <c r="AE52" s="176">
        <f>'03 Prevádzkové výdavky'!AE21</f>
        <v>17252827.940329</v>
      </c>
      <c r="AF52" s="176">
        <f>'03 Prevádzkové výdavky'!AF21</f>
        <v>17543714.355987202</v>
      </c>
      <c r="AG52" s="176">
        <f>'03 Prevádzkové výdavky'!AG21</f>
        <v>17841685.612836517</v>
      </c>
      <c r="AH52" s="176">
        <f>'03 Prevádzkové výdavky'!AH21</f>
        <v>18146947.286745626</v>
      </c>
      <c r="AI52" s="176">
        <f>'03 Prevádzkové výdavky'!AI21</f>
        <v>33504711.743446782</v>
      </c>
      <c r="AJ52" s="176">
        <f>'03 Prevádzkové výdavky'!AJ21</f>
        <v>33825198.382832401</v>
      </c>
      <c r="AK52" s="176">
        <f>'03 Prevádzkové výdavky'!AK21</f>
        <v>34153633.892494619</v>
      </c>
      <c r="AL52" s="176">
        <f>'03 Prevádzkové výdavky'!AL21</f>
        <v>34490252.510867044</v>
      </c>
    </row>
    <row r="53" spans="2:38" x14ac:dyDescent="0.2">
      <c r="B53" s="3" t="s">
        <v>181</v>
      </c>
      <c r="C53" s="117">
        <f t="shared" si="43"/>
        <v>0</v>
      </c>
      <c r="D53" s="117">
        <f>D20</f>
        <v>0</v>
      </c>
      <c r="E53" s="117">
        <f t="shared" ref="E53:AG53" si="74">E20</f>
        <v>0</v>
      </c>
      <c r="F53" s="117">
        <f t="shared" si="74"/>
        <v>0</v>
      </c>
      <c r="G53" s="117">
        <f t="shared" si="74"/>
        <v>0</v>
      </c>
      <c r="H53" s="117">
        <f t="shared" si="74"/>
        <v>0</v>
      </c>
      <c r="I53" s="117">
        <f t="shared" si="74"/>
        <v>0</v>
      </c>
      <c r="J53" s="117">
        <f t="shared" si="74"/>
        <v>0</v>
      </c>
      <c r="K53" s="117">
        <f t="shared" si="74"/>
        <v>0</v>
      </c>
      <c r="L53" s="117">
        <f t="shared" si="74"/>
        <v>0</v>
      </c>
      <c r="M53" s="117">
        <f t="shared" si="74"/>
        <v>0</v>
      </c>
      <c r="N53" s="117">
        <f t="shared" si="74"/>
        <v>0</v>
      </c>
      <c r="O53" s="117">
        <f t="shared" si="74"/>
        <v>0</v>
      </c>
      <c r="P53" s="117">
        <f t="shared" si="74"/>
        <v>0</v>
      </c>
      <c r="Q53" s="117">
        <f t="shared" si="74"/>
        <v>0</v>
      </c>
      <c r="R53" s="117">
        <f t="shared" si="74"/>
        <v>0</v>
      </c>
      <c r="S53" s="117">
        <f t="shared" si="74"/>
        <v>0</v>
      </c>
      <c r="T53" s="117">
        <f t="shared" si="74"/>
        <v>0</v>
      </c>
      <c r="U53" s="117">
        <f t="shared" si="74"/>
        <v>0</v>
      </c>
      <c r="V53" s="117">
        <f t="shared" si="74"/>
        <v>0</v>
      </c>
      <c r="W53" s="117">
        <f t="shared" si="74"/>
        <v>0</v>
      </c>
      <c r="X53" s="117">
        <f t="shared" si="74"/>
        <v>0</v>
      </c>
      <c r="Y53" s="117">
        <f t="shared" si="74"/>
        <v>0</v>
      </c>
      <c r="Z53" s="117">
        <f t="shared" si="74"/>
        <v>0</v>
      </c>
      <c r="AA53" s="117">
        <f t="shared" si="74"/>
        <v>0</v>
      </c>
      <c r="AB53" s="117">
        <f t="shared" si="74"/>
        <v>0</v>
      </c>
      <c r="AC53" s="117">
        <f t="shared" si="74"/>
        <v>0</v>
      </c>
      <c r="AD53" s="117">
        <f t="shared" si="74"/>
        <v>0</v>
      </c>
      <c r="AE53" s="117">
        <f t="shared" si="74"/>
        <v>0</v>
      </c>
      <c r="AF53" s="117">
        <f t="shared" si="74"/>
        <v>0</v>
      </c>
      <c r="AG53" s="117">
        <f t="shared" si="74"/>
        <v>0</v>
      </c>
      <c r="AH53" s="117">
        <f t="shared" ref="AH53:AL53" si="75">AH20</f>
        <v>0</v>
      </c>
      <c r="AI53" s="117">
        <f t="shared" si="75"/>
        <v>0</v>
      </c>
      <c r="AJ53" s="117">
        <f t="shared" si="75"/>
        <v>0</v>
      </c>
      <c r="AK53" s="117">
        <f t="shared" si="75"/>
        <v>0</v>
      </c>
      <c r="AL53" s="117">
        <f t="shared" si="75"/>
        <v>0</v>
      </c>
    </row>
    <row r="54" spans="2:38" x14ac:dyDescent="0.2">
      <c r="B54" s="4" t="s">
        <v>26</v>
      </c>
      <c r="C54" s="117">
        <f t="shared" si="43"/>
        <v>707473634.2631942</v>
      </c>
      <c r="D54" s="177">
        <f>SUM(D51:D53)</f>
        <v>10804450.148465233</v>
      </c>
      <c r="E54" s="177">
        <f t="shared" ref="E54" si="76">SUM(E51:E53)</f>
        <v>31341902.099054523</v>
      </c>
      <c r="F54" s="177">
        <f t="shared" ref="F54" si="77">SUM(F51:F53)</f>
        <v>92682036.014324725</v>
      </c>
      <c r="G54" s="177">
        <f t="shared" ref="G54" si="78">SUM(G51:G53)</f>
        <v>12173773.832425959</v>
      </c>
      <c r="H54" s="177">
        <f t="shared" ref="H54" si="79">SUM(H51:H53)</f>
        <v>12329783.098804396</v>
      </c>
      <c r="I54" s="177">
        <f t="shared" ref="I54" si="80">SUM(I51:I53)</f>
        <v>12488564.834810406</v>
      </c>
      <c r="J54" s="177">
        <f t="shared" ref="J54" si="81">SUM(J51:J53)</f>
        <v>12650171.188403958</v>
      </c>
      <c r="K54" s="177">
        <f t="shared" ref="K54" si="82">SUM(K51:K53)</f>
        <v>12814655.313426659</v>
      </c>
      <c r="L54" s="177">
        <f t="shared" ref="L54" si="83">SUM(L51:L53)</f>
        <v>12982071.389253855</v>
      </c>
      <c r="M54" s="177">
        <f t="shared" ref="M54" si="84">SUM(M51:M53)</f>
        <v>13164000.71467348</v>
      </c>
      <c r="N54" s="177">
        <f t="shared" ref="N54" si="85">SUM(N51:N53)</f>
        <v>13349549.81049186</v>
      </c>
      <c r="O54" s="177">
        <f t="shared" ref="O54" si="86">SUM(O51:O53)</f>
        <v>13538797.954045394</v>
      </c>
      <c r="P54" s="177">
        <f t="shared" ref="P54" si="87">SUM(P51:P53)</f>
        <v>13731826.279953184</v>
      </c>
      <c r="Q54" s="177">
        <f t="shared" ref="Q54" si="88">SUM(Q51:Q53)</f>
        <v>13928717.826101396</v>
      </c>
      <c r="R54" s="177">
        <f t="shared" ref="R54" si="89">SUM(R51:R53)</f>
        <v>14129557.580820808</v>
      </c>
      <c r="S54" s="177">
        <f t="shared" ref="S54" si="90">SUM(S51:S53)</f>
        <v>14334432.531289613</v>
      </c>
      <c r="T54" s="177">
        <f t="shared" ref="T54" si="91">SUM(T51:T53)</f>
        <v>14543431.713194618</v>
      </c>
      <c r="U54" s="177">
        <f t="shared" ref="U54" si="92">SUM(U51:U53)</f>
        <v>14756646.261684811</v>
      </c>
      <c r="V54" s="177">
        <f t="shared" ref="V54" si="93">SUM(V51:V53)</f>
        <v>14981688.919682769</v>
      </c>
      <c r="W54" s="177">
        <f t="shared" ref="W54" si="94">SUM(W51:W53)</f>
        <v>15211624.488079058</v>
      </c>
      <c r="X54" s="177">
        <f t="shared" ref="X54" si="95">SUM(X51:X53)</f>
        <v>15446574.593856962</v>
      </c>
      <c r="Y54" s="177">
        <f t="shared" ref="Y54" si="96">SUM(Y51:Y53)</f>
        <v>21041664.219538137</v>
      </c>
      <c r="Z54" s="177">
        <f t="shared" ref="Z54" si="97">SUM(Z51:Z53)</f>
        <v>21287021.803584479</v>
      </c>
      <c r="AA54" s="177">
        <f t="shared" ref="AA54" si="98">SUM(AA51:AA53)</f>
        <v>21537779.343985364</v>
      </c>
      <c r="AB54" s="177">
        <f t="shared" ref="AB54" si="99">SUM(AB51:AB53)</f>
        <v>21794072.505135298</v>
      </c>
      <c r="AC54" s="177">
        <f t="shared" ref="AC54" si="100">SUM(AC51:AC53)</f>
        <v>16701040.728110589</v>
      </c>
      <c r="AD54" s="177">
        <f t="shared" ref="AD54" si="101">SUM(AD51:AD53)</f>
        <v>16968827.344457369</v>
      </c>
      <c r="AE54" s="177">
        <f t="shared" ref="AE54" si="102">SUM(AE51:AE53)</f>
        <v>17252827.940329</v>
      </c>
      <c r="AF54" s="177">
        <f t="shared" ref="AF54" si="103">SUM(AF51:AF53)</f>
        <v>17543714.355987202</v>
      </c>
      <c r="AG54" s="177">
        <f t="shared" ref="AG54:AL54" si="104">SUM(AG51:AG53)</f>
        <v>17841685.612836517</v>
      </c>
      <c r="AH54" s="177">
        <f t="shared" si="104"/>
        <v>18146947.286745626</v>
      </c>
      <c r="AI54" s="177">
        <f t="shared" si="104"/>
        <v>33504711.743446782</v>
      </c>
      <c r="AJ54" s="177">
        <f t="shared" si="104"/>
        <v>33825198.382832401</v>
      </c>
      <c r="AK54" s="177">
        <f t="shared" si="104"/>
        <v>34153633.892494619</v>
      </c>
      <c r="AL54" s="177">
        <f t="shared" si="104"/>
        <v>34490252.510867044</v>
      </c>
    </row>
    <row r="55" spans="2:38" x14ac:dyDescent="0.2">
      <c r="B55" s="115" t="s">
        <v>47</v>
      </c>
      <c r="C55" s="178">
        <f t="shared" si="43"/>
        <v>-457352623.74553049</v>
      </c>
      <c r="D55" s="178">
        <f>D50-D54</f>
        <v>-6674899.6269634208</v>
      </c>
      <c r="E55" s="178">
        <f t="shared" ref="E55:AG55" si="105">E50-E54</f>
        <v>-6808222.0270312093</v>
      </c>
      <c r="F55" s="178">
        <f t="shared" si="105"/>
        <v>-6944222.262229383</v>
      </c>
      <c r="G55" s="178">
        <f t="shared" si="105"/>
        <v>-7882168.4644658612</v>
      </c>
      <c r="H55" s="178">
        <f t="shared" si="105"/>
        <v>-8038177.7308442974</v>
      </c>
      <c r="I55" s="178">
        <f t="shared" si="105"/>
        <v>-8196959.4668503078</v>
      </c>
      <c r="J55" s="178">
        <f t="shared" si="105"/>
        <v>-8358565.8204438603</v>
      </c>
      <c r="K55" s="178">
        <f t="shared" si="105"/>
        <v>-8523049.9454665594</v>
      </c>
      <c r="L55" s="178">
        <f t="shared" si="105"/>
        <v>-8690466.0212937556</v>
      </c>
      <c r="M55" s="178">
        <f t="shared" si="105"/>
        <v>-8872395.3467133828</v>
      </c>
      <c r="N55" s="178">
        <f t="shared" si="105"/>
        <v>-9057944.4425317608</v>
      </c>
      <c r="O55" s="178">
        <f t="shared" si="105"/>
        <v>-9247192.5860852972</v>
      </c>
      <c r="P55" s="178">
        <f t="shared" si="105"/>
        <v>-9440220.9119930863</v>
      </c>
      <c r="Q55" s="178">
        <f t="shared" si="105"/>
        <v>-9637112.4581412971</v>
      </c>
      <c r="R55" s="178">
        <f t="shared" si="105"/>
        <v>-9837952.2128607109</v>
      </c>
      <c r="S55" s="178">
        <f t="shared" si="105"/>
        <v>-10042827.163329516</v>
      </c>
      <c r="T55" s="178">
        <f t="shared" si="105"/>
        <v>-10260409.55597044</v>
      </c>
      <c r="U55" s="178">
        <f t="shared" si="105"/>
        <v>-10482190.148775082</v>
      </c>
      <c r="V55" s="178">
        <f t="shared" si="105"/>
        <v>-10715781.718998859</v>
      </c>
      <c r="W55" s="178">
        <f t="shared" si="105"/>
        <v>-10954249.101796515</v>
      </c>
      <c r="X55" s="178">
        <f t="shared" si="105"/>
        <v>-11197713.958346985</v>
      </c>
      <c r="Y55" s="178">
        <f t="shared" si="105"/>
        <v>-16801301.305299181</v>
      </c>
      <c r="Z55" s="178">
        <f t="shared" si="105"/>
        <v>-17055139.615173999</v>
      </c>
      <c r="AA55" s="178">
        <f t="shared" si="105"/>
        <v>-17314360.919951707</v>
      </c>
      <c r="AB55" s="178">
        <f t="shared" si="105"/>
        <v>-17579100.917949706</v>
      </c>
      <c r="AC55" s="178">
        <f t="shared" si="105"/>
        <v>-12494499.084099371</v>
      </c>
      <c r="AD55" s="178">
        <f t="shared" si="105"/>
        <v>-12770698.783734173</v>
      </c>
      <c r="AE55" s="178">
        <f t="shared" si="105"/>
        <v>-13063095.636727251</v>
      </c>
      <c r="AF55" s="178">
        <f t="shared" si="105"/>
        <v>-13362361.516992655</v>
      </c>
      <c r="AG55" s="178">
        <f t="shared" si="105"/>
        <v>-13668695.47951996</v>
      </c>
      <c r="AH55" s="178">
        <f t="shared" ref="AH55:AL55" si="106">AH50-AH54</f>
        <v>-13982303.133695701</v>
      </c>
      <c r="AI55" s="178">
        <f t="shared" si="106"/>
        <v>-29348396.878702957</v>
      </c>
      <c r="AJ55" s="178">
        <f t="shared" si="106"/>
        <v>-29677196.147818062</v>
      </c>
      <c r="AK55" s="178">
        <f t="shared" si="106"/>
        <v>-30013927.661950309</v>
      </c>
      <c r="AL55" s="178">
        <f t="shared" si="106"/>
        <v>-30358825.692783825</v>
      </c>
    </row>
    <row r="56" spans="2:38" x14ac:dyDescent="0.2">
      <c r="B56" s="3" t="s">
        <v>27</v>
      </c>
      <c r="C56" s="177"/>
      <c r="D56" s="117">
        <f>D55</f>
        <v>-6674899.6269634208</v>
      </c>
      <c r="E56" s="117">
        <f>D56+E55</f>
        <v>-13483121.653994631</v>
      </c>
      <c r="F56" s="117">
        <f t="shared" ref="F56" si="107">E56+F55</f>
        <v>-20427343.916224014</v>
      </c>
      <c r="G56" s="117">
        <f t="shared" ref="G56" si="108">F56+G55</f>
        <v>-28309512.380689874</v>
      </c>
      <c r="H56" s="117">
        <f t="shared" ref="H56" si="109">G56+H55</f>
        <v>-36347690.111534171</v>
      </c>
      <c r="I56" s="117">
        <f t="shared" ref="I56" si="110">H56+I55</f>
        <v>-44544649.578384481</v>
      </c>
      <c r="J56" s="117">
        <f t="shared" ref="J56" si="111">I56+J55</f>
        <v>-52903215.398828343</v>
      </c>
      <c r="K56" s="117">
        <f t="shared" ref="K56" si="112">J56+K55</f>
        <v>-61426265.344294906</v>
      </c>
      <c r="L56" s="117">
        <f t="shared" ref="L56" si="113">K56+L55</f>
        <v>-70116731.365588665</v>
      </c>
      <c r="M56" s="117">
        <f t="shared" ref="M56" si="114">L56+M55</f>
        <v>-78989126.712302044</v>
      </c>
      <c r="N56" s="117">
        <f t="shared" ref="N56" si="115">M56+N55</f>
        <v>-88047071.154833809</v>
      </c>
      <c r="O56" s="117">
        <f t="shared" ref="O56" si="116">N56+O55</f>
        <v>-97294263.740919113</v>
      </c>
      <c r="P56" s="117">
        <f t="shared" ref="P56" si="117">O56+P55</f>
        <v>-106734484.6529122</v>
      </c>
      <c r="Q56" s="117">
        <f t="shared" ref="Q56" si="118">P56+Q55</f>
        <v>-116371597.1110535</v>
      </c>
      <c r="R56" s="117">
        <f t="shared" ref="R56" si="119">Q56+R55</f>
        <v>-126209549.3239142</v>
      </c>
      <c r="S56" s="117">
        <f t="shared" ref="S56" si="120">R56+S55</f>
        <v>-136252376.48724371</v>
      </c>
      <c r="T56" s="117">
        <f t="shared" ref="T56" si="121">S56+T55</f>
        <v>-146512786.04321414</v>
      </c>
      <c r="U56" s="117">
        <f t="shared" ref="U56" si="122">T56+U55</f>
        <v>-156994976.19198921</v>
      </c>
      <c r="V56" s="117">
        <f t="shared" ref="V56" si="123">U56+V55</f>
        <v>-167710757.91098806</v>
      </c>
      <c r="W56" s="117">
        <f t="shared" ref="W56" si="124">V56+W55</f>
        <v>-178665007.01278457</v>
      </c>
      <c r="X56" s="117">
        <f t="shared" ref="X56" si="125">W56+X55</f>
        <v>-189862720.97113156</v>
      </c>
      <c r="Y56" s="117">
        <f t="shared" ref="Y56" si="126">X56+Y55</f>
        <v>-206664022.27643076</v>
      </c>
      <c r="Z56" s="117">
        <f t="shared" ref="Z56" si="127">Y56+Z55</f>
        <v>-223719161.89160475</v>
      </c>
      <c r="AA56" s="117">
        <f t="shared" ref="AA56" si="128">Z56+AA55</f>
        <v>-241033522.81155646</v>
      </c>
      <c r="AB56" s="117">
        <f t="shared" ref="AB56" si="129">AA56+AB55</f>
        <v>-258612623.72950616</v>
      </c>
      <c r="AC56" s="117">
        <f t="shared" ref="AC56" si="130">AB56+AC55</f>
        <v>-271107122.81360555</v>
      </c>
      <c r="AD56" s="117">
        <f t="shared" ref="AD56" si="131">AC56+AD55</f>
        <v>-283877821.59733975</v>
      </c>
      <c r="AE56" s="117">
        <f t="shared" ref="AE56" si="132">AD56+AE55</f>
        <v>-296940917.23406702</v>
      </c>
      <c r="AF56" s="117">
        <f t="shared" ref="AF56" si="133">AE56+AF55</f>
        <v>-310303278.75105965</v>
      </c>
      <c r="AG56" s="117">
        <f t="shared" ref="AG56" si="134">AF56+AG55</f>
        <v>-323971974.23057961</v>
      </c>
      <c r="AH56" s="117">
        <f t="shared" ref="AH56" si="135">AG56+AH55</f>
        <v>-337954277.36427534</v>
      </c>
      <c r="AI56" s="117">
        <f t="shared" ref="AI56" si="136">AH56+AI55</f>
        <v>-367302674.24297827</v>
      </c>
      <c r="AJ56" s="117">
        <f t="shared" ref="AJ56" si="137">AI56+AJ55</f>
        <v>-396979870.39079636</v>
      </c>
      <c r="AK56" s="117">
        <f t="shared" ref="AK56" si="138">AJ56+AK55</f>
        <v>-426993798.05274665</v>
      </c>
      <c r="AL56" s="117">
        <f t="shared" ref="AL56" si="139">AK56+AL55</f>
        <v>-457352623.74553049</v>
      </c>
    </row>
    <row r="57" spans="2:38" x14ac:dyDescent="0.2">
      <c r="B57" s="3" t="s">
        <v>189</v>
      </c>
      <c r="C57" s="177">
        <f>SUM(D57:AL57)</f>
        <v>0</v>
      </c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</row>
    <row r="58" spans="2:38" x14ac:dyDescent="0.2">
      <c r="B58" s="28" t="s">
        <v>190</v>
      </c>
      <c r="C58" s="179"/>
      <c r="D58" s="179">
        <f>D55+D57</f>
        <v>-6674899.6269634208</v>
      </c>
      <c r="E58" s="179">
        <f>D58+E55+E57</f>
        <v>-13483121.653994631</v>
      </c>
      <c r="F58" s="179">
        <f t="shared" ref="F58:AG58" si="140">E58+F55+F57</f>
        <v>-20427343.916224014</v>
      </c>
      <c r="G58" s="179">
        <f t="shared" si="140"/>
        <v>-28309512.380689874</v>
      </c>
      <c r="H58" s="179">
        <f t="shared" si="140"/>
        <v>-36347690.111534171</v>
      </c>
      <c r="I58" s="179">
        <f t="shared" si="140"/>
        <v>-44544649.578384481</v>
      </c>
      <c r="J58" s="179">
        <f t="shared" si="140"/>
        <v>-52903215.398828343</v>
      </c>
      <c r="K58" s="179">
        <f t="shared" si="140"/>
        <v>-61426265.344294906</v>
      </c>
      <c r="L58" s="179">
        <f t="shared" si="140"/>
        <v>-70116731.365588665</v>
      </c>
      <c r="M58" s="179">
        <f t="shared" si="140"/>
        <v>-78989126.712302044</v>
      </c>
      <c r="N58" s="179">
        <f t="shared" si="140"/>
        <v>-88047071.154833809</v>
      </c>
      <c r="O58" s="179">
        <f t="shared" si="140"/>
        <v>-97294263.740919113</v>
      </c>
      <c r="P58" s="179">
        <f t="shared" si="140"/>
        <v>-106734484.6529122</v>
      </c>
      <c r="Q58" s="179">
        <f t="shared" si="140"/>
        <v>-116371597.1110535</v>
      </c>
      <c r="R58" s="179">
        <f t="shared" si="140"/>
        <v>-126209549.3239142</v>
      </c>
      <c r="S58" s="179">
        <f t="shared" si="140"/>
        <v>-136252376.48724371</v>
      </c>
      <c r="T58" s="179">
        <f t="shared" si="140"/>
        <v>-146512786.04321414</v>
      </c>
      <c r="U58" s="179">
        <f t="shared" si="140"/>
        <v>-156994976.19198921</v>
      </c>
      <c r="V58" s="179">
        <f t="shared" si="140"/>
        <v>-167710757.91098806</v>
      </c>
      <c r="W58" s="179">
        <f t="shared" si="140"/>
        <v>-178665007.01278457</v>
      </c>
      <c r="X58" s="179">
        <f t="shared" si="140"/>
        <v>-189862720.97113156</v>
      </c>
      <c r="Y58" s="179">
        <f t="shared" si="140"/>
        <v>-206664022.27643076</v>
      </c>
      <c r="Z58" s="179">
        <f t="shared" si="140"/>
        <v>-223719161.89160475</v>
      </c>
      <c r="AA58" s="179">
        <f t="shared" si="140"/>
        <v>-241033522.81155646</v>
      </c>
      <c r="AB58" s="179">
        <f t="shared" si="140"/>
        <v>-258612623.72950616</v>
      </c>
      <c r="AC58" s="179">
        <f t="shared" si="140"/>
        <v>-271107122.81360555</v>
      </c>
      <c r="AD58" s="179">
        <f t="shared" si="140"/>
        <v>-283877821.59733975</v>
      </c>
      <c r="AE58" s="179">
        <f t="shared" si="140"/>
        <v>-296940917.23406702</v>
      </c>
      <c r="AF58" s="179">
        <f t="shared" si="140"/>
        <v>-310303278.75105965</v>
      </c>
      <c r="AG58" s="179">
        <f t="shared" si="140"/>
        <v>-323971974.23057961</v>
      </c>
      <c r="AH58" s="179">
        <f t="shared" ref="AH58" si="141">AG58+AH55+AH57</f>
        <v>-337954277.36427534</v>
      </c>
      <c r="AI58" s="179">
        <f t="shared" ref="AI58" si="142">AH58+AI55+AI57</f>
        <v>-367302674.24297827</v>
      </c>
      <c r="AJ58" s="179">
        <f t="shared" ref="AJ58" si="143">AI58+AJ55+AJ57</f>
        <v>-396979870.39079636</v>
      </c>
      <c r="AK58" s="179">
        <f t="shared" ref="AK58" si="144">AJ58+AK55+AK57</f>
        <v>-426993798.05274665</v>
      </c>
      <c r="AL58" s="179">
        <f t="shared" ref="AL58" si="145">AK58+AL55+AL57</f>
        <v>-457352623.74553049</v>
      </c>
    </row>
    <row r="60" spans="2:38" x14ac:dyDescent="0.2">
      <c r="B60" s="1" t="s">
        <v>216</v>
      </c>
    </row>
  </sheetData>
  <sheetProtection algorithmName="SHA-512" hashValue="leUmEPIzYGGRxLnkVlvU+ELL1J+l0qAg5xByf2Xgjm/3wqwI8bgUBDBLjwzN9hMHwyaN+WVS1DAo+aFAQTrXQg==" saltValue="yj9DxOehiPh2B4eYc2p2pA==" spinCount="100000" sheet="1" objects="1" scenarios="1"/>
  <phoneticPr fontId="3" type="noConversion"/>
  <conditionalFormatting sqref="D40:AL40">
    <cfRule type="cellIs" dxfId="3" priority="4" stopIfTrue="1" operator="lessThan">
      <formula>0</formula>
    </cfRule>
  </conditionalFormatting>
  <conditionalFormatting sqref="D42:AL42">
    <cfRule type="cellIs" dxfId="2" priority="3" stopIfTrue="1" operator="lessThan">
      <formula>0</formula>
    </cfRule>
  </conditionalFormatting>
  <conditionalFormatting sqref="D56:AL56">
    <cfRule type="cellIs" dxfId="1" priority="2" stopIfTrue="1" operator="lessThan">
      <formula>0</formula>
    </cfRule>
  </conditionalFormatting>
  <conditionalFormatting sqref="D58:AL58">
    <cfRule type="cellIs" dxfId="0" priority="1" stopIfTrue="1" operator="lessThan">
      <formula>0</formula>
    </cfRule>
  </conditionalFormatting>
  <pageMargins left="0.24791666666666667" right="0.1953125" top="1" bottom="1" header="0.5" footer="0.5"/>
  <pageSetup scale="70" orientation="landscape" r:id="rId1"/>
  <headerFooter alignWithMargins="0">
    <oddHeader>&amp;LPríloha 7: Štandardné tabuľky - Cesty
&amp;"Arial,Tučné"&amp;12 06 Finančná analýza</oddHeader>
    <oddFooter>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2:AL68"/>
  <sheetViews>
    <sheetView zoomScale="90" zoomScaleNormal="90" workbookViewId="0"/>
  </sheetViews>
  <sheetFormatPr defaultColWidth="9.140625" defaultRowHeight="11.25" x14ac:dyDescent="0.2"/>
  <cols>
    <col min="1" max="1" width="2.7109375" style="2" customWidth="1"/>
    <col min="2" max="2" width="63.85546875" style="2" bestFit="1" customWidth="1"/>
    <col min="3" max="3" width="9.28515625" style="2" bestFit="1" customWidth="1"/>
    <col min="4" max="4" width="8.85546875" style="2" bestFit="1" customWidth="1"/>
    <col min="5" max="6" width="9.28515625" style="2" bestFit="1" customWidth="1"/>
    <col min="7" max="38" width="13.85546875" style="2" bestFit="1" customWidth="1"/>
    <col min="39" max="44" width="9.28515625" style="2" customWidth="1"/>
    <col min="45" max="16384" width="9.140625" style="2"/>
  </cols>
  <sheetData>
    <row r="2" spans="2:38" x14ac:dyDescent="0.2">
      <c r="B2" s="3"/>
      <c r="C2" s="3"/>
      <c r="D2" s="3" t="s">
        <v>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x14ac:dyDescent="0.2">
      <c r="B3" s="4"/>
      <c r="C3" s="4"/>
      <c r="D3" s="5">
        <v>1</v>
      </c>
      <c r="E3" s="5">
        <v>2</v>
      </c>
      <c r="F3" s="5">
        <v>3</v>
      </c>
      <c r="G3" s="5">
        <v>4</v>
      </c>
      <c r="H3" s="5">
        <v>5</v>
      </c>
      <c r="I3" s="5">
        <v>6</v>
      </c>
      <c r="J3" s="5">
        <v>7</v>
      </c>
      <c r="K3" s="5">
        <v>8</v>
      </c>
      <c r="L3" s="5">
        <v>9</v>
      </c>
      <c r="M3" s="5">
        <v>10</v>
      </c>
      <c r="N3" s="5">
        <v>11</v>
      </c>
      <c r="O3" s="5">
        <v>12</v>
      </c>
      <c r="P3" s="5">
        <v>13</v>
      </c>
      <c r="Q3" s="5">
        <v>14</v>
      </c>
      <c r="R3" s="5">
        <v>15</v>
      </c>
      <c r="S3" s="5">
        <v>16</v>
      </c>
      <c r="T3" s="5">
        <v>17</v>
      </c>
      <c r="U3" s="5">
        <v>18</v>
      </c>
      <c r="V3" s="5">
        <v>19</v>
      </c>
      <c r="W3" s="5">
        <v>20</v>
      </c>
      <c r="X3" s="5">
        <v>21</v>
      </c>
      <c r="Y3" s="5">
        <v>22</v>
      </c>
      <c r="Z3" s="5">
        <v>23</v>
      </c>
      <c r="AA3" s="5">
        <v>24</v>
      </c>
      <c r="AB3" s="5">
        <v>25</v>
      </c>
      <c r="AC3" s="5">
        <v>26</v>
      </c>
      <c r="AD3" s="5">
        <v>27</v>
      </c>
      <c r="AE3" s="5">
        <v>28</v>
      </c>
      <c r="AF3" s="5">
        <v>29</v>
      </c>
      <c r="AG3" s="5">
        <v>30</v>
      </c>
      <c r="AH3" s="5">
        <v>31</v>
      </c>
      <c r="AI3" s="5">
        <v>32</v>
      </c>
      <c r="AJ3" s="5">
        <v>33</v>
      </c>
      <c r="AK3" s="5">
        <v>34</v>
      </c>
      <c r="AL3" s="5">
        <v>35</v>
      </c>
    </row>
    <row r="4" spans="2:38" x14ac:dyDescent="0.2">
      <c r="B4" s="6" t="s">
        <v>714</v>
      </c>
      <c r="C4" s="231" t="s">
        <v>9</v>
      </c>
      <c r="D4" s="7">
        <f>Parametre!C13</f>
        <v>2025</v>
      </c>
      <c r="E4" s="7">
        <f>$D$4+D3</f>
        <v>2026</v>
      </c>
      <c r="F4" s="7">
        <f>$D$4+E3</f>
        <v>2027</v>
      </c>
      <c r="G4" s="7">
        <f t="shared" ref="G4:AG4" si="0">$D$4+F3</f>
        <v>2028</v>
      </c>
      <c r="H4" s="7">
        <f t="shared" si="0"/>
        <v>2029</v>
      </c>
      <c r="I4" s="7">
        <f t="shared" si="0"/>
        <v>2030</v>
      </c>
      <c r="J4" s="7">
        <f t="shared" si="0"/>
        <v>2031</v>
      </c>
      <c r="K4" s="7">
        <f t="shared" si="0"/>
        <v>2032</v>
      </c>
      <c r="L4" s="7">
        <f t="shared" si="0"/>
        <v>2033</v>
      </c>
      <c r="M4" s="7">
        <f t="shared" si="0"/>
        <v>2034</v>
      </c>
      <c r="N4" s="7">
        <f t="shared" si="0"/>
        <v>2035</v>
      </c>
      <c r="O4" s="7">
        <f t="shared" si="0"/>
        <v>2036</v>
      </c>
      <c r="P4" s="7">
        <f t="shared" si="0"/>
        <v>2037</v>
      </c>
      <c r="Q4" s="7">
        <f t="shared" si="0"/>
        <v>2038</v>
      </c>
      <c r="R4" s="7">
        <f t="shared" si="0"/>
        <v>2039</v>
      </c>
      <c r="S4" s="7">
        <f t="shared" si="0"/>
        <v>2040</v>
      </c>
      <c r="T4" s="7">
        <f t="shared" si="0"/>
        <v>2041</v>
      </c>
      <c r="U4" s="7">
        <f t="shared" si="0"/>
        <v>2042</v>
      </c>
      <c r="V4" s="7">
        <f t="shared" si="0"/>
        <v>2043</v>
      </c>
      <c r="W4" s="7">
        <f t="shared" si="0"/>
        <v>2044</v>
      </c>
      <c r="X4" s="7">
        <f t="shared" si="0"/>
        <v>2045</v>
      </c>
      <c r="Y4" s="7">
        <f t="shared" si="0"/>
        <v>2046</v>
      </c>
      <c r="Z4" s="7">
        <f t="shared" si="0"/>
        <v>2047</v>
      </c>
      <c r="AA4" s="7">
        <f t="shared" si="0"/>
        <v>2048</v>
      </c>
      <c r="AB4" s="7">
        <f t="shared" si="0"/>
        <v>2049</v>
      </c>
      <c r="AC4" s="7">
        <f t="shared" si="0"/>
        <v>2050</v>
      </c>
      <c r="AD4" s="7">
        <f t="shared" si="0"/>
        <v>2051</v>
      </c>
      <c r="AE4" s="7">
        <f t="shared" si="0"/>
        <v>2052</v>
      </c>
      <c r="AF4" s="7">
        <f t="shared" si="0"/>
        <v>2053</v>
      </c>
      <c r="AG4" s="7">
        <f t="shared" si="0"/>
        <v>2054</v>
      </c>
      <c r="AH4" s="7">
        <f t="shared" ref="AH4" si="1">$D$4+AG3</f>
        <v>2055</v>
      </c>
      <c r="AI4" s="7">
        <f t="shared" ref="AI4" si="2">$D$4+AH3</f>
        <v>2056</v>
      </c>
      <c r="AJ4" s="7">
        <f t="shared" ref="AJ4" si="3">$D$4+AI3</f>
        <v>2057</v>
      </c>
      <c r="AK4" s="7">
        <f t="shared" ref="AK4" si="4">$D$4+AJ3</f>
        <v>2058</v>
      </c>
      <c r="AL4" s="7">
        <f t="shared" ref="AL4" si="5">$D$4+AK3</f>
        <v>2059</v>
      </c>
    </row>
    <row r="5" spans="2:38" x14ac:dyDescent="0.2">
      <c r="B5" s="3" t="s">
        <v>33</v>
      </c>
      <c r="C5" s="117">
        <f>SUM(D5:AL5)</f>
        <v>47742447.952277675</v>
      </c>
      <c r="D5" s="121">
        <f>Vstupy!C21</f>
        <v>1376227.8071191669</v>
      </c>
      <c r="E5" s="121">
        <f>Vstupy!D21</f>
        <v>1377604.034926286</v>
      </c>
      <c r="F5" s="121">
        <f>Vstupy!E21</f>
        <v>1378981.638961212</v>
      </c>
      <c r="G5" s="121">
        <f>Vstupy!F21</f>
        <v>1378981.638961212</v>
      </c>
      <c r="H5" s="121">
        <f>Vstupy!G21</f>
        <v>1378981.638961212</v>
      </c>
      <c r="I5" s="121">
        <f>Vstupy!H21</f>
        <v>1378981.638961212</v>
      </c>
      <c r="J5" s="121">
        <f>Vstupy!I21</f>
        <v>1378981.638961212</v>
      </c>
      <c r="K5" s="121">
        <f>Vstupy!J21</f>
        <v>1378981.638961212</v>
      </c>
      <c r="L5" s="121">
        <f>Vstupy!K21</f>
        <v>1378981.638961212</v>
      </c>
      <c r="M5" s="121">
        <f>Vstupy!L21</f>
        <v>1378981.638961212</v>
      </c>
      <c r="N5" s="121">
        <f>Vstupy!M21</f>
        <v>1378981.638961212</v>
      </c>
      <c r="O5" s="121">
        <f>Vstupy!N21</f>
        <v>1378981.638961212</v>
      </c>
      <c r="P5" s="121">
        <f>Vstupy!O21</f>
        <v>1378981.638961212</v>
      </c>
      <c r="Q5" s="121">
        <f>Vstupy!P21</f>
        <v>1378981.638961212</v>
      </c>
      <c r="R5" s="121">
        <f>Vstupy!Q21</f>
        <v>1378981.638961212</v>
      </c>
      <c r="S5" s="121">
        <f>Vstupy!R21</f>
        <v>1378981.638961212</v>
      </c>
      <c r="T5" s="121">
        <f>Vstupy!S21</f>
        <v>1376223.6756832898</v>
      </c>
      <c r="U5" s="121">
        <f>Vstupy!T21</f>
        <v>1373471.228331923</v>
      </c>
      <c r="V5" s="121">
        <f>Vstupy!U21</f>
        <v>1370724.2858752592</v>
      </c>
      <c r="W5" s="121">
        <f>Vstupy!V21</f>
        <v>1367982.8373035088</v>
      </c>
      <c r="X5" s="121">
        <f>Vstupy!W21</f>
        <v>1365246.8716289017</v>
      </c>
      <c r="Y5" s="121">
        <f>Vstupy!X21</f>
        <v>1362516.3778856439</v>
      </c>
      <c r="Z5" s="121">
        <f>Vstupy!Y21</f>
        <v>1359791.3451298724</v>
      </c>
      <c r="AA5" s="121">
        <f>Vstupy!Z21</f>
        <v>1357071.7624396128</v>
      </c>
      <c r="AB5" s="121">
        <f>Vstupy!AA21</f>
        <v>1354357.6189147334</v>
      </c>
      <c r="AC5" s="121">
        <f>Vstupy!AB21</f>
        <v>1351648.903676904</v>
      </c>
      <c r="AD5" s="121">
        <f>Vstupy!AC21</f>
        <v>1348945.60586955</v>
      </c>
      <c r="AE5" s="121">
        <f>Vstupy!AD21</f>
        <v>1346247.714657811</v>
      </c>
      <c r="AF5" s="121">
        <f>Vstupy!AE21</f>
        <v>1343555.2192284954</v>
      </c>
      <c r="AG5" s="121">
        <f>Vstupy!AF21</f>
        <v>1340868.1087900384</v>
      </c>
      <c r="AH5" s="121">
        <f>Vstupy!AG21</f>
        <v>1338186.3725724583</v>
      </c>
      <c r="AI5" s="121">
        <f>Vstupy!AH21</f>
        <v>1335509.9998273135</v>
      </c>
      <c r="AJ5" s="121">
        <f>Vstupy!AI21</f>
        <v>1332838.9798276587</v>
      </c>
      <c r="AK5" s="121">
        <f>Vstupy!AJ21</f>
        <v>1330173.3018680036</v>
      </c>
      <c r="AL5" s="121">
        <f>Vstupy!AK21</f>
        <v>1327512.9552642675</v>
      </c>
    </row>
    <row r="6" spans="2:38" x14ac:dyDescent="0.2">
      <c r="B6" s="3" t="s">
        <v>34</v>
      </c>
      <c r="C6" s="117">
        <f t="shared" ref="C6:C15" si="6">SUM(D6:AL6)</f>
        <v>46106769.87292549</v>
      </c>
      <c r="D6" s="121">
        <f>Vstupy!C26</f>
        <v>1376227.8071191669</v>
      </c>
      <c r="E6" s="121">
        <f>Vstupy!D26</f>
        <v>1377604.034926286</v>
      </c>
      <c r="F6" s="121">
        <f>Vstupy!E26</f>
        <v>1378981.638961212</v>
      </c>
      <c r="G6" s="121">
        <f>Vstupy!F26</f>
        <v>1327259.8103784958</v>
      </c>
      <c r="H6" s="121">
        <f>Vstupy!G26</f>
        <v>1327259.8103784958</v>
      </c>
      <c r="I6" s="121">
        <f>Vstupy!H26</f>
        <v>1327259.8103784958</v>
      </c>
      <c r="J6" s="121">
        <f>Vstupy!I26</f>
        <v>1327259.8103784958</v>
      </c>
      <c r="K6" s="121">
        <f>Vstupy!J26</f>
        <v>1327259.8103784958</v>
      </c>
      <c r="L6" s="121">
        <f>Vstupy!K26</f>
        <v>1327259.8103784958</v>
      </c>
      <c r="M6" s="121">
        <f>Vstupy!L26</f>
        <v>1327259.8103784958</v>
      </c>
      <c r="N6" s="121">
        <f>Vstupy!M26</f>
        <v>1327259.8103784958</v>
      </c>
      <c r="O6" s="121">
        <f>Vstupy!N26</f>
        <v>1327259.8103784958</v>
      </c>
      <c r="P6" s="121">
        <f>Vstupy!O26</f>
        <v>1327259.8103784958</v>
      </c>
      <c r="Q6" s="121">
        <f>Vstupy!P26</f>
        <v>1327259.8103784958</v>
      </c>
      <c r="R6" s="121">
        <f>Vstupy!Q26</f>
        <v>1327259.8103784958</v>
      </c>
      <c r="S6" s="121">
        <f>Vstupy!R26</f>
        <v>1327259.8103784958</v>
      </c>
      <c r="T6" s="121">
        <f>Vstupy!S26</f>
        <v>1324605.290757739</v>
      </c>
      <c r="U6" s="121">
        <f>Vstupy!T26</f>
        <v>1321956.0801762235</v>
      </c>
      <c r="V6" s="121">
        <f>Vstupy!U26</f>
        <v>1319312.1680158712</v>
      </c>
      <c r="W6" s="121">
        <f>Vstupy!V26</f>
        <v>1316673.5436798392</v>
      </c>
      <c r="X6" s="121">
        <f>Vstupy!W26</f>
        <v>1314040.1965924797</v>
      </c>
      <c r="Y6" s="121">
        <f>Vstupy!X26</f>
        <v>1311412.1161992948</v>
      </c>
      <c r="Z6" s="121">
        <f>Vstupy!Y26</f>
        <v>1308789.291966896</v>
      </c>
      <c r="AA6" s="121">
        <f>Vstupy!Z26</f>
        <v>1306171.7133829622</v>
      </c>
      <c r="AB6" s="121">
        <f>Vstupy!AA26</f>
        <v>1303559.3699561961</v>
      </c>
      <c r="AC6" s="121">
        <f>Vstupy!AB26</f>
        <v>1300952.2512162838</v>
      </c>
      <c r="AD6" s="121">
        <f>Vstupy!AC26</f>
        <v>1298350.3467138512</v>
      </c>
      <c r="AE6" s="121">
        <f>Vstupy!AD26</f>
        <v>1295753.6460204234</v>
      </c>
      <c r="AF6" s="121">
        <f>Vstupy!AE26</f>
        <v>1293162.1387283825</v>
      </c>
      <c r="AG6" s="121">
        <f>Vstupy!AF26</f>
        <v>1290575.8144509259</v>
      </c>
      <c r="AH6" s="121">
        <f>Vstupy!AG26</f>
        <v>1287994.662822024</v>
      </c>
      <c r="AI6" s="121">
        <f>Vstupy!AH26</f>
        <v>1285418.67349638</v>
      </c>
      <c r="AJ6" s="121">
        <f>Vstupy!AI26</f>
        <v>1282847.8361493873</v>
      </c>
      <c r="AK6" s="121">
        <f>Vstupy!AJ26</f>
        <v>1280282.1404770885</v>
      </c>
      <c r="AL6" s="121">
        <f>Vstupy!AK26</f>
        <v>1277721.5761961343</v>
      </c>
    </row>
    <row r="7" spans="2:38" ht="12" thickBot="1" x14ac:dyDescent="0.25">
      <c r="B7" s="27" t="s">
        <v>194</v>
      </c>
      <c r="C7" s="117">
        <f t="shared" si="6"/>
        <v>1635678.079352173</v>
      </c>
      <c r="D7" s="118">
        <f>D5-D6</f>
        <v>0</v>
      </c>
      <c r="E7" s="118">
        <f t="shared" ref="E7:AG7" si="7">E5-E6</f>
        <v>0</v>
      </c>
      <c r="F7" s="118">
        <f t="shared" si="7"/>
        <v>0</v>
      </c>
      <c r="G7" s="118">
        <f t="shared" si="7"/>
        <v>51721.828582716174</v>
      </c>
      <c r="H7" s="118">
        <f t="shared" si="7"/>
        <v>51721.828582716174</v>
      </c>
      <c r="I7" s="118">
        <f t="shared" si="7"/>
        <v>51721.828582716174</v>
      </c>
      <c r="J7" s="118">
        <f t="shared" si="7"/>
        <v>51721.828582716174</v>
      </c>
      <c r="K7" s="118">
        <f t="shared" si="7"/>
        <v>51721.828582716174</v>
      </c>
      <c r="L7" s="118">
        <f t="shared" si="7"/>
        <v>51721.828582716174</v>
      </c>
      <c r="M7" s="118">
        <f t="shared" si="7"/>
        <v>51721.828582716174</v>
      </c>
      <c r="N7" s="118">
        <f t="shared" si="7"/>
        <v>51721.828582716174</v>
      </c>
      <c r="O7" s="118">
        <f t="shared" si="7"/>
        <v>51721.828582716174</v>
      </c>
      <c r="P7" s="118">
        <f t="shared" si="7"/>
        <v>51721.828582716174</v>
      </c>
      <c r="Q7" s="118">
        <f t="shared" si="7"/>
        <v>51721.828582716174</v>
      </c>
      <c r="R7" s="118">
        <f t="shared" si="7"/>
        <v>51721.828582716174</v>
      </c>
      <c r="S7" s="118">
        <f t="shared" si="7"/>
        <v>51721.828582716174</v>
      </c>
      <c r="T7" s="118">
        <f t="shared" si="7"/>
        <v>51618.384925550781</v>
      </c>
      <c r="U7" s="118">
        <f t="shared" si="7"/>
        <v>51515.148155699484</v>
      </c>
      <c r="V7" s="118">
        <f t="shared" si="7"/>
        <v>51412.117859388003</v>
      </c>
      <c r="W7" s="118">
        <f t="shared" si="7"/>
        <v>51309.293623669539</v>
      </c>
      <c r="X7" s="118">
        <f t="shared" si="7"/>
        <v>51206.675036421977</v>
      </c>
      <c r="Y7" s="118">
        <f t="shared" si="7"/>
        <v>51104.261686349055</v>
      </c>
      <c r="Z7" s="118">
        <f t="shared" si="7"/>
        <v>51002.053162976401</v>
      </c>
      <c r="AA7" s="118">
        <f t="shared" si="7"/>
        <v>50900.049056650605</v>
      </c>
      <c r="AB7" s="118">
        <f t="shared" si="7"/>
        <v>50798.248958537355</v>
      </c>
      <c r="AC7" s="118">
        <f t="shared" si="7"/>
        <v>50696.652460620273</v>
      </c>
      <c r="AD7" s="118">
        <f t="shared" si="7"/>
        <v>50595.259155698819</v>
      </c>
      <c r="AE7" s="118">
        <f t="shared" si="7"/>
        <v>50494.068637387594</v>
      </c>
      <c r="AF7" s="118">
        <f t="shared" si="7"/>
        <v>50393.080500112846</v>
      </c>
      <c r="AG7" s="118">
        <f t="shared" si="7"/>
        <v>50292.294339112472</v>
      </c>
      <c r="AH7" s="118">
        <f t="shared" ref="AH7:AL7" si="8">AH5-AH6</f>
        <v>50191.709750434384</v>
      </c>
      <c r="AI7" s="118">
        <f t="shared" si="8"/>
        <v>50091.326330933487</v>
      </c>
      <c r="AJ7" s="118">
        <f t="shared" si="8"/>
        <v>49991.143678271445</v>
      </c>
      <c r="AK7" s="118">
        <f t="shared" si="8"/>
        <v>49891.161390915047</v>
      </c>
      <c r="AL7" s="118">
        <f t="shared" si="8"/>
        <v>49791.379068133188</v>
      </c>
    </row>
    <row r="8" spans="2:38" ht="12" thickTop="1" x14ac:dyDescent="0.2">
      <c r="B8" s="29" t="s">
        <v>146</v>
      </c>
      <c r="C8" s="117">
        <f t="shared" si="6"/>
        <v>70334.157412143424</v>
      </c>
      <c r="D8" s="119">
        <f>D7*Parametre!$C$54</f>
        <v>0</v>
      </c>
      <c r="E8" s="119">
        <f>E7*Parametre!$C$54</f>
        <v>0</v>
      </c>
      <c r="F8" s="119">
        <f>F7*Parametre!$C$54</f>
        <v>0</v>
      </c>
      <c r="G8" s="119">
        <f>G7*Parametre!$C$54</f>
        <v>2224.0386290567953</v>
      </c>
      <c r="H8" s="119">
        <f>H7*Parametre!$C$54</f>
        <v>2224.0386290567953</v>
      </c>
      <c r="I8" s="119">
        <f>I7*Parametre!$C$54</f>
        <v>2224.0386290567953</v>
      </c>
      <c r="J8" s="119">
        <f>J7*Parametre!$C$54</f>
        <v>2224.0386290567953</v>
      </c>
      <c r="K8" s="119">
        <f>K7*Parametre!$C$54</f>
        <v>2224.0386290567953</v>
      </c>
      <c r="L8" s="119">
        <f>L7*Parametre!$C$54</f>
        <v>2224.0386290567953</v>
      </c>
      <c r="M8" s="119">
        <f>M7*Parametre!$C$54</f>
        <v>2224.0386290567953</v>
      </c>
      <c r="N8" s="119">
        <f>N7*Parametre!$C$54</f>
        <v>2224.0386290567953</v>
      </c>
      <c r="O8" s="119">
        <f>O7*Parametre!$C$54</f>
        <v>2224.0386290567953</v>
      </c>
      <c r="P8" s="119">
        <f>P7*Parametre!$C$54</f>
        <v>2224.0386290567953</v>
      </c>
      <c r="Q8" s="119">
        <f>Q7*Parametre!$C$54</f>
        <v>2224.0386290567953</v>
      </c>
      <c r="R8" s="119">
        <f>R7*Parametre!$C$54</f>
        <v>2224.0386290567953</v>
      </c>
      <c r="S8" s="119">
        <f>S7*Parametre!$C$54</f>
        <v>2224.0386290567953</v>
      </c>
      <c r="T8" s="119">
        <f>T7*Parametre!$C$54</f>
        <v>2219.5905517986835</v>
      </c>
      <c r="U8" s="119">
        <f>U7*Parametre!$C$54</f>
        <v>2215.1513706950777</v>
      </c>
      <c r="V8" s="119">
        <f>V7*Parametre!$C$54</f>
        <v>2210.7210679536838</v>
      </c>
      <c r="W8" s="119">
        <f>W7*Parametre!$C$54</f>
        <v>2206.29962581779</v>
      </c>
      <c r="X8" s="119">
        <f>X7*Parametre!$C$54</f>
        <v>2201.8870265661449</v>
      </c>
      <c r="Y8" s="119">
        <f>Y7*Parametre!$C$54</f>
        <v>2197.4832525130091</v>
      </c>
      <c r="Z8" s="119">
        <f>Z7*Parametre!$C$54</f>
        <v>2193.0882860079851</v>
      </c>
      <c r="AA8" s="119">
        <f>AA7*Parametre!$C$54</f>
        <v>2188.7021094359757</v>
      </c>
      <c r="AB8" s="119">
        <f>AB7*Parametre!$C$54</f>
        <v>2184.3247052171059</v>
      </c>
      <c r="AC8" s="119">
        <f>AC7*Parametre!$C$54</f>
        <v>2179.9560558066714</v>
      </c>
      <c r="AD8" s="119">
        <f>AD7*Parametre!$C$54</f>
        <v>2175.5961436950492</v>
      </c>
      <c r="AE8" s="119">
        <f>AE7*Parametre!$C$54</f>
        <v>2171.2449514076666</v>
      </c>
      <c r="AF8" s="119">
        <f>AF7*Parametre!$C$54</f>
        <v>2166.902461504852</v>
      </c>
      <c r="AG8" s="119">
        <f>AG7*Parametre!$C$54</f>
        <v>2162.568656581836</v>
      </c>
      <c r="AH8" s="119">
        <f>AH7*Parametre!$C$54</f>
        <v>2158.2435192686785</v>
      </c>
      <c r="AI8" s="119">
        <f>AI7*Parametre!$C$54</f>
        <v>2153.92703223014</v>
      </c>
      <c r="AJ8" s="119">
        <f>AJ7*Parametre!$C$54</f>
        <v>2149.6191781656721</v>
      </c>
      <c r="AK8" s="119">
        <f>AK7*Parametre!$C$54</f>
        <v>2145.319939809347</v>
      </c>
      <c r="AL8" s="119">
        <f>AL7*Parametre!$C$54</f>
        <v>2141.0292999297271</v>
      </c>
    </row>
    <row r="9" spans="2:38" x14ac:dyDescent="0.2">
      <c r="B9" s="3" t="s">
        <v>102</v>
      </c>
      <c r="C9" s="117">
        <f t="shared" si="6"/>
        <v>418733.58831415646</v>
      </c>
      <c r="D9" s="117">
        <f>D7*Parametre!$D$54</f>
        <v>0</v>
      </c>
      <c r="E9" s="117">
        <f>E7*Parametre!$D$54</f>
        <v>0</v>
      </c>
      <c r="F9" s="117">
        <f>F7*Parametre!$D$54</f>
        <v>0</v>
      </c>
      <c r="G9" s="117">
        <f>G7*Parametre!$D$54</f>
        <v>13240.788117175342</v>
      </c>
      <c r="H9" s="117">
        <f>H7*Parametre!$D$54</f>
        <v>13240.788117175342</v>
      </c>
      <c r="I9" s="117">
        <f>I7*Parametre!$D$54</f>
        <v>13240.788117175342</v>
      </c>
      <c r="J9" s="117">
        <f>J7*Parametre!$D$54</f>
        <v>13240.788117175342</v>
      </c>
      <c r="K9" s="117">
        <f>K7*Parametre!$D$54</f>
        <v>13240.788117175342</v>
      </c>
      <c r="L9" s="117">
        <f>L7*Parametre!$D$54</f>
        <v>13240.788117175342</v>
      </c>
      <c r="M9" s="117">
        <f>M7*Parametre!$D$54</f>
        <v>13240.788117175342</v>
      </c>
      <c r="N9" s="117">
        <f>N7*Parametre!$D$54</f>
        <v>13240.788117175342</v>
      </c>
      <c r="O9" s="117">
        <f>O7*Parametre!$D$54</f>
        <v>13240.788117175342</v>
      </c>
      <c r="P9" s="117">
        <f>P7*Parametre!$D$54</f>
        <v>13240.788117175342</v>
      </c>
      <c r="Q9" s="117">
        <f>Q7*Parametre!$D$54</f>
        <v>13240.788117175342</v>
      </c>
      <c r="R9" s="117">
        <f>R7*Parametre!$D$54</f>
        <v>13240.788117175342</v>
      </c>
      <c r="S9" s="117">
        <f>S7*Parametre!$D$54</f>
        <v>13240.788117175342</v>
      </c>
      <c r="T9" s="117">
        <f>T7*Parametre!$D$54</f>
        <v>13214.306540941001</v>
      </c>
      <c r="U9" s="117">
        <f>U7*Parametre!$D$54</f>
        <v>13187.877927859068</v>
      </c>
      <c r="V9" s="117">
        <f>V7*Parametre!$D$54</f>
        <v>13161.502172003329</v>
      </c>
      <c r="W9" s="117">
        <f>W7*Parametre!$D$54</f>
        <v>13135.179167659402</v>
      </c>
      <c r="X9" s="117">
        <f>X7*Parametre!$D$54</f>
        <v>13108.908809324026</v>
      </c>
      <c r="Y9" s="117">
        <f>Y7*Parametre!$D$54</f>
        <v>13082.690991705358</v>
      </c>
      <c r="Z9" s="117">
        <f>Z7*Parametre!$D$54</f>
        <v>13056.525609721959</v>
      </c>
      <c r="AA9" s="117">
        <f>AA7*Parametre!$D$54</f>
        <v>13030.412558502556</v>
      </c>
      <c r="AB9" s="117">
        <f>AB7*Parametre!$D$54</f>
        <v>13004.351733385563</v>
      </c>
      <c r="AC9" s="117">
        <f>AC7*Parametre!$D$54</f>
        <v>12978.343029918789</v>
      </c>
      <c r="AD9" s="117">
        <f>AD7*Parametre!$D$54</f>
        <v>12952.386343858898</v>
      </c>
      <c r="AE9" s="117">
        <f>AE7*Parametre!$D$54</f>
        <v>12926.481571171224</v>
      </c>
      <c r="AF9" s="117">
        <f>AF7*Parametre!$D$54</f>
        <v>12900.628608028888</v>
      </c>
      <c r="AG9" s="117">
        <f>AG7*Parametre!$D$54</f>
        <v>12874.827350812793</v>
      </c>
      <c r="AH9" s="117">
        <f>AH7*Parametre!$D$54</f>
        <v>12849.077696111202</v>
      </c>
      <c r="AI9" s="117">
        <f>AI7*Parametre!$D$54</f>
        <v>12823.379540718974</v>
      </c>
      <c r="AJ9" s="117">
        <f>AJ7*Parametre!$D$54</f>
        <v>12797.732781637491</v>
      </c>
      <c r="AK9" s="117">
        <f>AK7*Parametre!$D$54</f>
        <v>12772.137316074253</v>
      </c>
      <c r="AL9" s="117">
        <f>AL7*Parametre!$D$54</f>
        <v>12746.593041442096</v>
      </c>
    </row>
    <row r="10" spans="2:38" x14ac:dyDescent="0.2">
      <c r="B10" s="3" t="s">
        <v>103</v>
      </c>
      <c r="C10" s="117">
        <f t="shared" si="6"/>
        <v>1146610.3336258731</v>
      </c>
      <c r="D10" s="117">
        <f>D7*Parametre!$E$54</f>
        <v>0</v>
      </c>
      <c r="E10" s="117">
        <f>E7*Parametre!$E$54</f>
        <v>0</v>
      </c>
      <c r="F10" s="117">
        <f>F7*Parametre!$E$54</f>
        <v>0</v>
      </c>
      <c r="G10" s="117">
        <f>G7*Parametre!$E$54</f>
        <v>36257.001836484036</v>
      </c>
      <c r="H10" s="117">
        <f>H7*Parametre!$E$54</f>
        <v>36257.001836484036</v>
      </c>
      <c r="I10" s="117">
        <f>I7*Parametre!$E$54</f>
        <v>36257.001836484036</v>
      </c>
      <c r="J10" s="117">
        <f>J7*Parametre!$E$54</f>
        <v>36257.001836484036</v>
      </c>
      <c r="K10" s="117">
        <f>K7*Parametre!$E$54</f>
        <v>36257.001836484036</v>
      </c>
      <c r="L10" s="117">
        <f>L7*Parametre!$E$54</f>
        <v>36257.001836484036</v>
      </c>
      <c r="M10" s="117">
        <f>M7*Parametre!$E$54</f>
        <v>36257.001836484036</v>
      </c>
      <c r="N10" s="117">
        <f>N7*Parametre!$E$54</f>
        <v>36257.001836484036</v>
      </c>
      <c r="O10" s="117">
        <f>O7*Parametre!$E$54</f>
        <v>36257.001836484036</v>
      </c>
      <c r="P10" s="117">
        <f>P7*Parametre!$E$54</f>
        <v>36257.001836484036</v>
      </c>
      <c r="Q10" s="117">
        <f>Q7*Parametre!$E$54</f>
        <v>36257.001836484036</v>
      </c>
      <c r="R10" s="117">
        <f>R7*Parametre!$E$54</f>
        <v>36257.001836484036</v>
      </c>
      <c r="S10" s="117">
        <f>S7*Parametre!$E$54</f>
        <v>36257.001836484036</v>
      </c>
      <c r="T10" s="117">
        <f>T7*Parametre!$E$54</f>
        <v>36184.487832811094</v>
      </c>
      <c r="U10" s="117">
        <f>U7*Parametre!$E$54</f>
        <v>36112.118857145339</v>
      </c>
      <c r="V10" s="117">
        <f>V7*Parametre!$E$54</f>
        <v>36039.89461943099</v>
      </c>
      <c r="W10" s="117">
        <f>W7*Parametre!$E$54</f>
        <v>35967.814830192343</v>
      </c>
      <c r="X10" s="117">
        <f>X7*Parametre!$E$54</f>
        <v>35895.879200531803</v>
      </c>
      <c r="Y10" s="117">
        <f>Y7*Parametre!$E$54</f>
        <v>35824.087442130687</v>
      </c>
      <c r="Z10" s="117">
        <f>Z7*Parametre!$E$54</f>
        <v>35752.439267246453</v>
      </c>
      <c r="AA10" s="117">
        <f>AA7*Parametre!$E$54</f>
        <v>35680.93438871207</v>
      </c>
      <c r="AB10" s="117">
        <f>AB7*Parametre!$E$54</f>
        <v>35609.572519934685</v>
      </c>
      <c r="AC10" s="117">
        <f>AC7*Parametre!$E$54</f>
        <v>35538.35337489481</v>
      </c>
      <c r="AD10" s="117">
        <f>AD7*Parametre!$E$54</f>
        <v>35467.27666814487</v>
      </c>
      <c r="AE10" s="117">
        <f>AE7*Parametre!$E$54</f>
        <v>35396.3421148087</v>
      </c>
      <c r="AF10" s="117">
        <f>AF7*Parametre!$E$54</f>
        <v>35325.5494305791</v>
      </c>
      <c r="AG10" s="117">
        <f>AG7*Parametre!$E$54</f>
        <v>35254.898331717843</v>
      </c>
      <c r="AH10" s="117">
        <f>AH7*Parametre!$E$54</f>
        <v>35184.388535054502</v>
      </c>
      <c r="AI10" s="117">
        <f>AI7*Parametre!$E$54</f>
        <v>35114.019757984373</v>
      </c>
      <c r="AJ10" s="117">
        <f>AJ7*Parametre!$E$54</f>
        <v>35043.791718468281</v>
      </c>
      <c r="AK10" s="117">
        <f>AK7*Parametre!$E$54</f>
        <v>34973.704135031447</v>
      </c>
      <c r="AL10" s="117">
        <f>AL7*Parametre!$E$54</f>
        <v>34903.756726761363</v>
      </c>
    </row>
    <row r="11" spans="2:38" x14ac:dyDescent="0.2">
      <c r="C11" s="117"/>
    </row>
    <row r="12" spans="2:38" x14ac:dyDescent="0.2">
      <c r="B12" s="15" t="s">
        <v>195</v>
      </c>
      <c r="C12" s="117"/>
    </row>
    <row r="13" spans="2:38" x14ac:dyDescent="0.2">
      <c r="B13" s="8" t="s">
        <v>146</v>
      </c>
      <c r="C13" s="117">
        <f t="shared" si="6"/>
        <v>1872945.2635111162</v>
      </c>
      <c r="D13" s="117">
        <f>D8*Parametre!C58</f>
        <v>0</v>
      </c>
      <c r="E13" s="117">
        <f>E8*Parametre!D58</f>
        <v>0</v>
      </c>
      <c r="F13" s="117">
        <f>F8*Parametre!E58</f>
        <v>0</v>
      </c>
      <c r="G13" s="117">
        <f>G8*Parametre!F58</f>
        <v>49217.97486102688</v>
      </c>
      <c r="H13" s="117">
        <f>H8*Parametre!G58</f>
        <v>49885.186449743916</v>
      </c>
      <c r="I13" s="117">
        <f>I8*Parametre!H58</f>
        <v>50596.878811042094</v>
      </c>
      <c r="J13" s="117">
        <f>J8*Parametre!I58</f>
        <v>51241.85001346856</v>
      </c>
      <c r="K13" s="117">
        <f>K8*Parametre!J58</f>
        <v>51886.821215895034</v>
      </c>
      <c r="L13" s="117">
        <f>L8*Parametre!K58</f>
        <v>52509.552032030937</v>
      </c>
      <c r="M13" s="117">
        <f>M8*Parametre!L58</f>
        <v>53132.28284816684</v>
      </c>
      <c r="N13" s="117">
        <f>N8*Parametre!M58</f>
        <v>53777.254050593314</v>
      </c>
      <c r="O13" s="117">
        <f>O8*Parametre!N58</f>
        <v>54422.22525301978</v>
      </c>
      <c r="P13" s="117">
        <f>P8*Parametre!O58</f>
        <v>55067.196455446254</v>
      </c>
      <c r="Q13" s="117">
        <f>Q8*Parametre!P58</f>
        <v>55734.40804416329</v>
      </c>
      <c r="R13" s="117">
        <f>R8*Parametre!Q58</f>
        <v>56401.619632880327</v>
      </c>
      <c r="S13" s="117">
        <f>S8*Parametre!R58</f>
        <v>57068.831221597371</v>
      </c>
      <c r="T13" s="117">
        <f>T8*Parametre!S58</f>
        <v>57642.766630211809</v>
      </c>
      <c r="U13" s="117">
        <f>U8*Parametre!T58</f>
        <v>58214.178021866646</v>
      </c>
      <c r="V13" s="117">
        <f>V8*Parametre!U58</f>
        <v>58694.644354170305</v>
      </c>
      <c r="W13" s="117">
        <f>W8*Parametre!V58</f>
        <v>59195.018960691305</v>
      </c>
      <c r="X13" s="117">
        <f>X8*Parametre!W58</f>
        <v>59693.157290208183</v>
      </c>
      <c r="Y13" s="117">
        <f>Y8*Parametre!X58</f>
        <v>60189.066286331319</v>
      </c>
      <c r="Z13" s="117">
        <f>Z8*Parametre!Y58</f>
        <v>60682.752873840953</v>
      </c>
      <c r="AA13" s="117">
        <f>AA8*Parametre!Z58</f>
        <v>61196.110979829878</v>
      </c>
      <c r="AB13" s="117">
        <f>AB8*Parametre!AA58</f>
        <v>61707.172922383244</v>
      </c>
      <c r="AC13" s="117">
        <f>AC8*Parametre!AB58</f>
        <v>62215.945832722398</v>
      </c>
      <c r="AD13" s="117">
        <f>AD8*Parametre!AC58</f>
        <v>62744.192784165221</v>
      </c>
      <c r="AE13" s="117">
        <f>AE8*Parametre!AD58</f>
        <v>63270.077884019403</v>
      </c>
      <c r="AF13" s="117">
        <f>AF8*Parametre!AE58</f>
        <v>63750.270417472748</v>
      </c>
      <c r="AG13" s="117">
        <f>AG8*Parametre!AF58</f>
        <v>64228.289100480528</v>
      </c>
      <c r="AH13" s="117">
        <f>AH8*Parametre!AG58</f>
        <v>64725.723142867668</v>
      </c>
      <c r="AI13" s="117">
        <f>AI8*Parametre!AH58</f>
        <v>65220.91053592864</v>
      </c>
      <c r="AJ13" s="117">
        <f>AJ8*Parametre!AI58</f>
        <v>65713.858276524596</v>
      </c>
      <c r="AK13" s="117">
        <f>AK8*Parametre!AJ58</f>
        <v>66204.573342516451</v>
      </c>
      <c r="AL13" s="117">
        <f>AL8*Parametre!AK58</f>
        <v>66714.472985810295</v>
      </c>
    </row>
    <row r="14" spans="2:38" x14ac:dyDescent="0.2">
      <c r="B14" s="8" t="s">
        <v>102</v>
      </c>
      <c r="C14" s="117">
        <f t="shared" si="6"/>
        <v>5259247.0870038494</v>
      </c>
      <c r="D14" s="117">
        <f>D9*Parametre!C59</f>
        <v>0</v>
      </c>
      <c r="E14" s="117">
        <f>E9*Parametre!D59</f>
        <v>0</v>
      </c>
      <c r="F14" s="117">
        <f>F9*Parametre!E59</f>
        <v>0</v>
      </c>
      <c r="G14" s="117">
        <f>G9*Parametre!F59</f>
        <v>138101.42006213882</v>
      </c>
      <c r="H14" s="117">
        <f>H9*Parametre!G59</f>
        <v>139955.13039854338</v>
      </c>
      <c r="I14" s="117">
        <f>I9*Parametre!H59</f>
        <v>141941.24861611967</v>
      </c>
      <c r="J14" s="117">
        <f>J9*Parametre!I59</f>
        <v>143794.9589525242</v>
      </c>
      <c r="K14" s="117">
        <f>K9*Parametre!J59</f>
        <v>145648.66928892877</v>
      </c>
      <c r="L14" s="117">
        <f>L9*Parametre!K59</f>
        <v>147369.97174416156</v>
      </c>
      <c r="M14" s="117">
        <f>M9*Parametre!L59</f>
        <v>149091.27419939433</v>
      </c>
      <c r="N14" s="117">
        <f>N9*Parametre!M59</f>
        <v>150944.9845357989</v>
      </c>
      <c r="O14" s="117">
        <f>O9*Parametre!N59</f>
        <v>152798.69487220343</v>
      </c>
      <c r="P14" s="117">
        <f>P9*Parametre!O59</f>
        <v>154652.40520860799</v>
      </c>
      <c r="Q14" s="117">
        <f>Q9*Parametre!P59</f>
        <v>156506.11554501255</v>
      </c>
      <c r="R14" s="117">
        <f>R9*Parametre!Q59</f>
        <v>158359.82588141708</v>
      </c>
      <c r="S14" s="117">
        <f>S9*Parametre!R59</f>
        <v>160213.53621782162</v>
      </c>
      <c r="T14" s="117">
        <f>T9*Parametre!S59</f>
        <v>161875.25512652725</v>
      </c>
      <c r="U14" s="117">
        <f>U9*Parametre!T59</f>
        <v>163529.68630545246</v>
      </c>
      <c r="V14" s="117">
        <f>V9*Parametre!U59</f>
        <v>164913.6222152017</v>
      </c>
      <c r="W14" s="117">
        <f>W9*Parametre!V59</f>
        <v>166291.36826256802</v>
      </c>
      <c r="X14" s="117">
        <f>X9*Parametre!W59</f>
        <v>167662.9436712543</v>
      </c>
      <c r="Y14" s="117">
        <f>Y9*Parametre!X59</f>
        <v>169028.36761283322</v>
      </c>
      <c r="Z14" s="117">
        <f>Z9*Parametre!Y59</f>
        <v>170387.65920687158</v>
      </c>
      <c r="AA14" s="117">
        <f>AA9*Parametre!Z59</f>
        <v>171871.1416466487</v>
      </c>
      <c r="AB14" s="117">
        <f>AB9*Parametre!AA59</f>
        <v>173348.00860602956</v>
      </c>
      <c r="AC14" s="117">
        <f>AC9*Parametre!AB59</f>
        <v>174818.28061300609</v>
      </c>
      <c r="AD14" s="117">
        <f>AD9*Parametre!AC59</f>
        <v>176281.97813991958</v>
      </c>
      <c r="AE14" s="117">
        <f>AE9*Parametre!AD59</f>
        <v>177739.12160360432</v>
      </c>
      <c r="AF14" s="117">
        <f>AF9*Parametre!AE59</f>
        <v>179060.72507944098</v>
      </c>
      <c r="AG14" s="117">
        <f>AG9*Parametre!AF59</f>
        <v>180376.33118488724</v>
      </c>
      <c r="AH14" s="117">
        <f>AH9*Parametre!AG59</f>
        <v>181685.95862301241</v>
      </c>
      <c r="AI14" s="117">
        <f>AI9*Parametre!AH59</f>
        <v>183117.85984146694</v>
      </c>
      <c r="AJ14" s="117">
        <f>AJ9*Parametre!AI59</f>
        <v>184543.30671121262</v>
      </c>
      <c r="AK14" s="117">
        <f>AK9*Parametre!AJ59</f>
        <v>185962.31932204112</v>
      </c>
      <c r="AL14" s="117">
        <f>AL9*Parametre!AK59</f>
        <v>187374.91770919881</v>
      </c>
    </row>
    <row r="15" spans="2:38" x14ac:dyDescent="0.2">
      <c r="B15" s="8" t="s">
        <v>103</v>
      </c>
      <c r="C15" s="117">
        <f t="shared" si="6"/>
        <v>9418891.928683307</v>
      </c>
      <c r="D15" s="117">
        <f>D10*Parametre!C60</f>
        <v>0</v>
      </c>
      <c r="E15" s="117">
        <f>E10*Parametre!D60</f>
        <v>0</v>
      </c>
      <c r="F15" s="117">
        <f>F10*Parametre!E60</f>
        <v>0</v>
      </c>
      <c r="G15" s="117">
        <f>G10*Parametre!F60</f>
        <v>247272.75252482115</v>
      </c>
      <c r="H15" s="117">
        <f>H10*Parametre!G60</f>
        <v>250535.88269010469</v>
      </c>
      <c r="I15" s="117">
        <f>I10*Parametre!H60</f>
        <v>254161.5828737531</v>
      </c>
      <c r="J15" s="117">
        <f>J10*Parametre!I60</f>
        <v>257424.71303903664</v>
      </c>
      <c r="K15" s="117">
        <f>K10*Parametre!J60</f>
        <v>260687.84320432023</v>
      </c>
      <c r="L15" s="117">
        <f>L10*Parametre!K60</f>
        <v>263950.9733696038</v>
      </c>
      <c r="M15" s="117">
        <f>M10*Parametre!L60</f>
        <v>267214.10353488737</v>
      </c>
      <c r="N15" s="117">
        <f>N10*Parametre!M60</f>
        <v>270477.23370017088</v>
      </c>
      <c r="O15" s="117">
        <f>O10*Parametre!N60</f>
        <v>273740.36386545445</v>
      </c>
      <c r="P15" s="117">
        <f>P10*Parametre!O60</f>
        <v>277003.49403073802</v>
      </c>
      <c r="Q15" s="117">
        <f>Q10*Parametre!P60</f>
        <v>280266.62419602164</v>
      </c>
      <c r="R15" s="117">
        <f>R10*Parametre!Q60</f>
        <v>283529.75436130515</v>
      </c>
      <c r="S15" s="117">
        <f>S10*Parametre!R60</f>
        <v>286792.88452658872</v>
      </c>
      <c r="T15" s="117">
        <f>T10*Parametre!S60</f>
        <v>289475.90266248875</v>
      </c>
      <c r="U15" s="117">
        <f>U10*Parametre!T60</f>
        <v>292508.1627428772</v>
      </c>
      <c r="V15" s="117">
        <f>V10*Parametre!U60</f>
        <v>294806.33798694547</v>
      </c>
      <c r="W15" s="117">
        <f>W10*Parametre!V60</f>
        <v>297453.82864569064</v>
      </c>
      <c r="X15" s="117">
        <f>X10*Parametre!W60</f>
        <v>300089.55011644587</v>
      </c>
      <c r="Y15" s="117">
        <f>Y10*Parametre!X60</f>
        <v>302713.5388860043</v>
      </c>
      <c r="Z15" s="117">
        <f>Z10*Parametre!Y60</f>
        <v>305325.83134228468</v>
      </c>
      <c r="AA15" s="117">
        <f>AA10*Parametre!Z60</f>
        <v>307926.46377458522</v>
      </c>
      <c r="AB15" s="117">
        <f>AB10*Parametre!AA60</f>
        <v>310515.4723738305</v>
      </c>
      <c r="AC15" s="117">
        <f>AC10*Parametre!AB60</f>
        <v>313092.89323282329</v>
      </c>
      <c r="AD15" s="117">
        <f>AD10*Parametre!AC60</f>
        <v>315658.76234648935</v>
      </c>
      <c r="AE15" s="117">
        <f>AE10*Parametre!AD60</f>
        <v>318213.1156121302</v>
      </c>
      <c r="AF15" s="117">
        <f>AF10*Parametre!AE60</f>
        <v>320755.98882965825</v>
      </c>
      <c r="AG15" s="117">
        <f>AG10*Parametre!AF60</f>
        <v>323287.41770185262</v>
      </c>
      <c r="AH15" s="117">
        <f>AH10*Parametre!AG60</f>
        <v>325807.4378346047</v>
      </c>
      <c r="AI15" s="117">
        <f>AI10*Parametre!AH60</f>
        <v>328316.0847371539</v>
      </c>
      <c r="AJ15" s="117">
        <f>AJ10*Parametre!AI60</f>
        <v>330813.39382234053</v>
      </c>
      <c r="AK15" s="117">
        <f>AK10*Parametre!AJ60</f>
        <v>333299.40040684969</v>
      </c>
      <c r="AL15" s="117">
        <f>AL10*Parametre!AK60</f>
        <v>335774.13971144427</v>
      </c>
    </row>
    <row r="16" spans="2:38" x14ac:dyDescent="0.2">
      <c r="B16" s="171" t="s">
        <v>276</v>
      </c>
      <c r="C16" s="172">
        <f>SUM(D16:AL16)</f>
        <v>16551084.279198267</v>
      </c>
      <c r="D16" s="173">
        <f>SUM(D13:D15)</f>
        <v>0</v>
      </c>
      <c r="E16" s="173">
        <f t="shared" ref="E16:AL16" si="9">SUM(E13:E15)</f>
        <v>0</v>
      </c>
      <c r="F16" s="173">
        <f t="shared" si="9"/>
        <v>0</v>
      </c>
      <c r="G16" s="173">
        <f t="shared" si="9"/>
        <v>434592.14744798688</v>
      </c>
      <c r="H16" s="173">
        <f t="shared" si="9"/>
        <v>440376.19953839201</v>
      </c>
      <c r="I16" s="173">
        <f t="shared" si="9"/>
        <v>446699.71030091483</v>
      </c>
      <c r="J16" s="173">
        <f t="shared" si="9"/>
        <v>452461.52200502937</v>
      </c>
      <c r="K16" s="173">
        <f t="shared" si="9"/>
        <v>458223.33370914403</v>
      </c>
      <c r="L16" s="173">
        <f t="shared" si="9"/>
        <v>463830.49714579631</v>
      </c>
      <c r="M16" s="173">
        <f t="shared" si="9"/>
        <v>469437.66058244853</v>
      </c>
      <c r="N16" s="173">
        <f t="shared" si="9"/>
        <v>475199.47228656308</v>
      </c>
      <c r="O16" s="173">
        <f t="shared" si="9"/>
        <v>480961.28399067768</v>
      </c>
      <c r="P16" s="173">
        <f t="shared" si="9"/>
        <v>486723.09569479222</v>
      </c>
      <c r="Q16" s="173">
        <f t="shared" si="9"/>
        <v>492507.14778519748</v>
      </c>
      <c r="R16" s="173">
        <f t="shared" si="9"/>
        <v>498291.19987560256</v>
      </c>
      <c r="S16" s="173">
        <f t="shared" si="9"/>
        <v>504075.25196600769</v>
      </c>
      <c r="T16" s="173">
        <f t="shared" si="9"/>
        <v>508993.92441922781</v>
      </c>
      <c r="U16" s="173">
        <f t="shared" si="9"/>
        <v>514252.02707019635</v>
      </c>
      <c r="V16" s="173">
        <f t="shared" si="9"/>
        <v>518414.60455631744</v>
      </c>
      <c r="W16" s="173">
        <f t="shared" si="9"/>
        <v>522940.21586894995</v>
      </c>
      <c r="X16" s="173">
        <f t="shared" si="9"/>
        <v>527445.65107790835</v>
      </c>
      <c r="Y16" s="173">
        <f t="shared" si="9"/>
        <v>531930.97278516879</v>
      </c>
      <c r="Z16" s="173">
        <f t="shared" si="9"/>
        <v>536396.24342299718</v>
      </c>
      <c r="AA16" s="173">
        <f t="shared" si="9"/>
        <v>540993.71640106384</v>
      </c>
      <c r="AB16" s="173">
        <f t="shared" si="9"/>
        <v>545570.65390224336</v>
      </c>
      <c r="AC16" s="173">
        <f t="shared" si="9"/>
        <v>550127.1196785518</v>
      </c>
      <c r="AD16" s="173">
        <f t="shared" si="9"/>
        <v>554684.93327057408</v>
      </c>
      <c r="AE16" s="173">
        <f t="shared" si="9"/>
        <v>559222.31509975391</v>
      </c>
      <c r="AF16" s="173">
        <f t="shared" si="9"/>
        <v>563566.98432657192</v>
      </c>
      <c r="AG16" s="173">
        <f t="shared" si="9"/>
        <v>567892.03798722033</v>
      </c>
      <c r="AH16" s="173">
        <f t="shared" si="9"/>
        <v>572219.11960048485</v>
      </c>
      <c r="AI16" s="173">
        <f t="shared" si="9"/>
        <v>576654.85511454951</v>
      </c>
      <c r="AJ16" s="173">
        <f t="shared" si="9"/>
        <v>581070.55881007772</v>
      </c>
      <c r="AK16" s="173">
        <f t="shared" si="9"/>
        <v>585466.29307140724</v>
      </c>
      <c r="AL16" s="173">
        <f t="shared" si="9"/>
        <v>589863.53040645341</v>
      </c>
    </row>
    <row r="18" spans="2:38" x14ac:dyDescent="0.2">
      <c r="B18" s="1"/>
    </row>
    <row r="19" spans="2:38" x14ac:dyDescent="0.2">
      <c r="B19" s="3"/>
      <c r="C19" s="3"/>
      <c r="D19" s="3" t="s">
        <v>10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2:38" x14ac:dyDescent="0.2">
      <c r="B20" s="4"/>
      <c r="C20" s="4"/>
      <c r="D20" s="5">
        <v>1</v>
      </c>
      <c r="E20" s="5">
        <v>2</v>
      </c>
      <c r="F20" s="5">
        <v>3</v>
      </c>
      <c r="G20" s="5">
        <v>4</v>
      </c>
      <c r="H20" s="5">
        <v>5</v>
      </c>
      <c r="I20" s="5">
        <v>6</v>
      </c>
      <c r="J20" s="5">
        <v>7</v>
      </c>
      <c r="K20" s="5">
        <v>8</v>
      </c>
      <c r="L20" s="5">
        <v>9</v>
      </c>
      <c r="M20" s="5">
        <v>10</v>
      </c>
      <c r="N20" s="5">
        <v>11</v>
      </c>
      <c r="O20" s="5">
        <v>12</v>
      </c>
      <c r="P20" s="5">
        <v>13</v>
      </c>
      <c r="Q20" s="5">
        <v>14</v>
      </c>
      <c r="R20" s="5">
        <v>15</v>
      </c>
      <c r="S20" s="5">
        <v>16</v>
      </c>
      <c r="T20" s="5">
        <v>17</v>
      </c>
      <c r="U20" s="5">
        <v>18</v>
      </c>
      <c r="V20" s="5">
        <v>19</v>
      </c>
      <c r="W20" s="5">
        <v>20</v>
      </c>
      <c r="X20" s="5">
        <v>21</v>
      </c>
      <c r="Y20" s="5">
        <v>22</v>
      </c>
      <c r="Z20" s="5">
        <v>23</v>
      </c>
      <c r="AA20" s="5">
        <v>24</v>
      </c>
      <c r="AB20" s="5">
        <v>25</v>
      </c>
      <c r="AC20" s="5">
        <v>26</v>
      </c>
      <c r="AD20" s="5">
        <v>27</v>
      </c>
      <c r="AE20" s="5">
        <v>28</v>
      </c>
      <c r="AF20" s="5">
        <v>29</v>
      </c>
      <c r="AG20" s="5">
        <v>30</v>
      </c>
      <c r="AH20" s="5">
        <v>31</v>
      </c>
      <c r="AI20" s="5">
        <v>32</v>
      </c>
      <c r="AJ20" s="5">
        <v>33</v>
      </c>
      <c r="AK20" s="5">
        <v>34</v>
      </c>
      <c r="AL20" s="5">
        <v>35</v>
      </c>
    </row>
    <row r="21" spans="2:38" x14ac:dyDescent="0.2">
      <c r="B21" s="6" t="s">
        <v>715</v>
      </c>
      <c r="C21" s="231" t="s">
        <v>9</v>
      </c>
      <c r="D21" s="7">
        <f>D4</f>
        <v>2025</v>
      </c>
      <c r="E21" s="7">
        <f>$D$4+D20</f>
        <v>2026</v>
      </c>
      <c r="F21" s="7">
        <f>$D$4+E20</f>
        <v>2027</v>
      </c>
      <c r="G21" s="7">
        <f t="shared" ref="G21" si="10">$D$4+F20</f>
        <v>2028</v>
      </c>
      <c r="H21" s="7">
        <f t="shared" ref="H21" si="11">$D$4+G20</f>
        <v>2029</v>
      </c>
      <c r="I21" s="7">
        <f t="shared" ref="I21" si="12">$D$4+H20</f>
        <v>2030</v>
      </c>
      <c r="J21" s="7">
        <f t="shared" ref="J21" si="13">$D$4+I20</f>
        <v>2031</v>
      </c>
      <c r="K21" s="7">
        <f t="shared" ref="K21" si="14">$D$4+J20</f>
        <v>2032</v>
      </c>
      <c r="L21" s="7">
        <f t="shared" ref="L21" si="15">$D$4+K20</f>
        <v>2033</v>
      </c>
      <c r="M21" s="7">
        <f t="shared" ref="M21" si="16">$D$4+L20</f>
        <v>2034</v>
      </c>
      <c r="N21" s="7">
        <f t="shared" ref="N21" si="17">$D$4+M20</f>
        <v>2035</v>
      </c>
      <c r="O21" s="7">
        <f t="shared" ref="O21" si="18">$D$4+N20</f>
        <v>2036</v>
      </c>
      <c r="P21" s="7">
        <f t="shared" ref="P21" si="19">$D$4+O20</f>
        <v>2037</v>
      </c>
      <c r="Q21" s="7">
        <f t="shared" ref="Q21" si="20">$D$4+P20</f>
        <v>2038</v>
      </c>
      <c r="R21" s="7">
        <f t="shared" ref="R21" si="21">$D$4+Q20</f>
        <v>2039</v>
      </c>
      <c r="S21" s="7">
        <f t="shared" ref="S21" si="22">$D$4+R20</f>
        <v>2040</v>
      </c>
      <c r="T21" s="7">
        <f t="shared" ref="T21" si="23">$D$4+S20</f>
        <v>2041</v>
      </c>
      <c r="U21" s="7">
        <f t="shared" ref="U21" si="24">$D$4+T20</f>
        <v>2042</v>
      </c>
      <c r="V21" s="7">
        <f t="shared" ref="V21" si="25">$D$4+U20</f>
        <v>2043</v>
      </c>
      <c r="W21" s="7">
        <f t="shared" ref="W21" si="26">$D$4+V20</f>
        <v>2044</v>
      </c>
      <c r="X21" s="7">
        <f t="shared" ref="X21" si="27">$D$4+W20</f>
        <v>2045</v>
      </c>
      <c r="Y21" s="7">
        <f t="shared" ref="Y21" si="28">$D$4+X20</f>
        <v>2046</v>
      </c>
      <c r="Z21" s="7">
        <f t="shared" ref="Z21" si="29">$D$4+Y20</f>
        <v>2047</v>
      </c>
      <c r="AA21" s="7">
        <f t="shared" ref="AA21" si="30">$D$4+Z20</f>
        <v>2048</v>
      </c>
      <c r="AB21" s="7">
        <f t="shared" ref="AB21" si="31">$D$4+AA20</f>
        <v>2049</v>
      </c>
      <c r="AC21" s="7">
        <f t="shared" ref="AC21" si="32">$D$4+AB20</f>
        <v>2050</v>
      </c>
      <c r="AD21" s="7">
        <f t="shared" ref="AD21" si="33">$D$4+AC20</f>
        <v>2051</v>
      </c>
      <c r="AE21" s="7">
        <f t="shared" ref="AE21" si="34">$D$4+AD20</f>
        <v>2052</v>
      </c>
      <c r="AF21" s="7">
        <f t="shared" ref="AF21" si="35">$D$4+AE20</f>
        <v>2053</v>
      </c>
      <c r="AG21" s="7">
        <f t="shared" ref="AG21" si="36">$D$4+AF20</f>
        <v>2054</v>
      </c>
      <c r="AH21" s="7">
        <f t="shared" ref="AH21" si="37">$D$4+AG20</f>
        <v>2055</v>
      </c>
      <c r="AI21" s="7">
        <f t="shared" ref="AI21" si="38">$D$4+AH20</f>
        <v>2056</v>
      </c>
      <c r="AJ21" s="7">
        <f t="shared" ref="AJ21" si="39">$D$4+AI20</f>
        <v>2057</v>
      </c>
      <c r="AK21" s="7">
        <f t="shared" ref="AK21" si="40">$D$4+AJ20</f>
        <v>2058</v>
      </c>
      <c r="AL21" s="7">
        <f t="shared" ref="AL21" si="41">$D$4+AK20</f>
        <v>2059</v>
      </c>
    </row>
    <row r="22" spans="2:38" x14ac:dyDescent="0.2">
      <c r="B22" s="3" t="s">
        <v>33</v>
      </c>
      <c r="C22" s="117">
        <f>SUM(D22:AL22)</f>
        <v>3416618.6420942368</v>
      </c>
      <c r="D22" s="121">
        <f>Vstupy!C33*Vstupy!$B$6/Vstupy!$B$9</f>
        <v>0</v>
      </c>
      <c r="E22" s="121">
        <f>Vstupy!D33*Vstupy!$B$6/Vstupy!$B$9</f>
        <v>0</v>
      </c>
      <c r="F22" s="121">
        <f>Vstupy!E33*Vstupy!$B$6/Vstupy!$B$9</f>
        <v>0</v>
      </c>
      <c r="G22" s="121">
        <f>Vstupy!F33*Vstupy!$B$6/Vstupy!$B$9</f>
        <v>108037.00677391223</v>
      </c>
      <c r="H22" s="121">
        <f>Vstupy!G33*Vstupy!$B$6/Vstupy!$B$9</f>
        <v>108037.00677391223</v>
      </c>
      <c r="I22" s="121">
        <f>Vstupy!H33*Vstupy!$B$6/Vstupy!$B$9</f>
        <v>108037.00677391223</v>
      </c>
      <c r="J22" s="121">
        <f>Vstupy!I33*Vstupy!$B$6/Vstupy!$B$9</f>
        <v>108037.00677391223</v>
      </c>
      <c r="K22" s="121">
        <f>Vstupy!J33*Vstupy!$B$6/Vstupy!$B$9</f>
        <v>108037.00677391223</v>
      </c>
      <c r="L22" s="121">
        <f>Vstupy!K33*Vstupy!$B$6/Vstupy!$B$9</f>
        <v>108037.00677391223</v>
      </c>
      <c r="M22" s="121">
        <f>Vstupy!L33*Vstupy!$B$6/Vstupy!$B$9</f>
        <v>108037.00677391223</v>
      </c>
      <c r="N22" s="121">
        <f>Vstupy!M33*Vstupy!$B$6/Vstupy!$B$9</f>
        <v>108037.00677391223</v>
      </c>
      <c r="O22" s="121">
        <f>Vstupy!N33*Vstupy!$B$6/Vstupy!$B$9</f>
        <v>108037.00677391223</v>
      </c>
      <c r="P22" s="121">
        <f>Vstupy!O33*Vstupy!$B$6/Vstupy!$B$9</f>
        <v>108037.00677391223</v>
      </c>
      <c r="Q22" s="121">
        <f>Vstupy!P33*Vstupy!$B$6/Vstupy!$B$9</f>
        <v>108037.00677391223</v>
      </c>
      <c r="R22" s="121">
        <f>Vstupy!Q33*Vstupy!$B$6/Vstupy!$B$9</f>
        <v>108037.00677391223</v>
      </c>
      <c r="S22" s="121">
        <f>Vstupy!R33*Vstupy!$B$6/Vstupy!$B$9</f>
        <v>108037.00677391223</v>
      </c>
      <c r="T22" s="121">
        <f>Vstupy!S33*Vstupy!$B$6/Vstupy!$B$9</f>
        <v>107820.93276036441</v>
      </c>
      <c r="U22" s="121">
        <f>Vstupy!T33*Vstupy!$B$6/Vstupy!$B$9</f>
        <v>107605.29089484368</v>
      </c>
      <c r="V22" s="121">
        <f>Vstupy!U33*Vstupy!$B$6/Vstupy!$B$9</f>
        <v>107390.080313054</v>
      </c>
      <c r="W22" s="121">
        <f>Vstupy!V33*Vstupy!$B$6/Vstupy!$B$9</f>
        <v>107175.30015242788</v>
      </c>
      <c r="X22" s="121">
        <f>Vstupy!W33*Vstupy!$B$6/Vstupy!$B$9</f>
        <v>106960.94955212303</v>
      </c>
      <c r="Y22" s="121">
        <f>Vstupy!X33*Vstupy!$B$6/Vstupy!$B$9</f>
        <v>106747.02765301878</v>
      </c>
      <c r="Z22" s="121">
        <f>Vstupy!Y33*Vstupy!$B$6/Vstupy!$B$9</f>
        <v>106533.53359771274</v>
      </c>
      <c r="AA22" s="121">
        <f>Vstupy!Z33*Vstupy!$B$6/Vstupy!$B$9</f>
        <v>106320.4665305173</v>
      </c>
      <c r="AB22" s="121">
        <f>Vstupy!AA33*Vstupy!$B$6/Vstupy!$B$9</f>
        <v>106107.82559745626</v>
      </c>
      <c r="AC22" s="121">
        <f>Vstupy!AB33*Vstupy!$B$6/Vstupy!$B$9</f>
        <v>105895.60994626136</v>
      </c>
      <c r="AD22" s="121">
        <f>Vstupy!AC33*Vstupy!$B$6/Vstupy!$B$9</f>
        <v>105683.81872636883</v>
      </c>
      <c r="AE22" s="121">
        <f>Vstupy!AD33*Vstupy!$B$6/Vstupy!$B$9</f>
        <v>105472.45108891609</v>
      </c>
      <c r="AF22" s="121">
        <f>Vstupy!AE33*Vstupy!$B$6/Vstupy!$B$9</f>
        <v>105261.50618673825</v>
      </c>
      <c r="AG22" s="121">
        <f>Vstupy!AF33*Vstupy!$B$6/Vstupy!$B$9</f>
        <v>105050.98317436478</v>
      </c>
      <c r="AH22" s="121">
        <f>Vstupy!AG33*Vstupy!$B$6/Vstupy!$B$9</f>
        <v>104840.88120801606</v>
      </c>
      <c r="AI22" s="121">
        <f>Vstupy!AH33*Vstupy!$B$6/Vstupy!$B$9</f>
        <v>104631.19944560002</v>
      </c>
      <c r="AJ22" s="121">
        <f>Vstupy!AI33*Vstupy!$B$6/Vstupy!$B$9</f>
        <v>104421.93704670884</v>
      </c>
      <c r="AK22" s="121">
        <f>Vstupy!AJ33*Vstupy!$B$6/Vstupy!$B$9</f>
        <v>104213.09317261541</v>
      </c>
      <c r="AL22" s="121">
        <f>Vstupy!AK33*Vstupy!$B$6/Vstupy!$B$9</f>
        <v>104004.66698627018</v>
      </c>
    </row>
    <row r="23" spans="2:38" x14ac:dyDescent="0.2">
      <c r="B23" s="3" t="s">
        <v>34</v>
      </c>
      <c r="C23" s="117">
        <f t="shared" ref="C23:C27" si="42">SUM(D23:AL23)</f>
        <v>1560061.1734835557</v>
      </c>
      <c r="D23" s="121">
        <f>Vstupy!C33*Vstupy!C29/(1+Vstupy!C31)</f>
        <v>0</v>
      </c>
      <c r="E23" s="121">
        <f>Vstupy!D33*Vstupy!D29/(1+Vstupy!D31)</f>
        <v>0</v>
      </c>
      <c r="F23" s="121">
        <f>Vstupy!E33*Vstupy!E29/(1+Vstupy!E31)</f>
        <v>0</v>
      </c>
      <c r="G23" s="121">
        <f>Vstupy!F33*Vstupy!F29/(1+Vstupy!F31)</f>
        <v>49330.743996658093</v>
      </c>
      <c r="H23" s="121">
        <f>Vstupy!G33*Vstupy!G29/(1+Vstupy!G31)</f>
        <v>49330.743996658093</v>
      </c>
      <c r="I23" s="121">
        <f>Vstupy!H33*Vstupy!H29/(1+Vstupy!H31)</f>
        <v>49330.743996658093</v>
      </c>
      <c r="J23" s="121">
        <f>Vstupy!I33*Vstupy!I29/(1+Vstupy!I31)</f>
        <v>49330.743996658093</v>
      </c>
      <c r="K23" s="121">
        <f>Vstupy!J33*Vstupy!J29/(1+Vstupy!J31)</f>
        <v>49330.743996658093</v>
      </c>
      <c r="L23" s="121">
        <f>Vstupy!K33*Vstupy!K29/(1+Vstupy!K31)</f>
        <v>49330.743996658093</v>
      </c>
      <c r="M23" s="121">
        <f>Vstupy!L33*Vstupy!L29/(1+Vstupy!L31)</f>
        <v>49330.743996658093</v>
      </c>
      <c r="N23" s="121">
        <f>Vstupy!M33*Vstupy!M29/(1+Vstupy!M31)</f>
        <v>49330.743996658093</v>
      </c>
      <c r="O23" s="121">
        <f>Vstupy!N33*Vstupy!N29/(1+Vstupy!N31)</f>
        <v>49330.743996658093</v>
      </c>
      <c r="P23" s="121">
        <f>Vstupy!O33*Vstupy!O29/(1+Vstupy!O31)</f>
        <v>49330.743996658093</v>
      </c>
      <c r="Q23" s="121">
        <f>Vstupy!P33*Vstupy!P29/(1+Vstupy!P31)</f>
        <v>49330.743996658093</v>
      </c>
      <c r="R23" s="121">
        <f>Vstupy!Q33*Vstupy!Q29/(1+Vstupy!Q31)</f>
        <v>49330.743996658093</v>
      </c>
      <c r="S23" s="121">
        <f>Vstupy!R33*Vstupy!R29/(1+Vstupy!R31)</f>
        <v>49330.743996658093</v>
      </c>
      <c r="T23" s="121">
        <f>Vstupy!S33*Vstupy!S29/(1+Vstupy!S31)</f>
        <v>49232.082508664782</v>
      </c>
      <c r="U23" s="121">
        <f>Vstupy!T33*Vstupy!T29/(1+Vstupy!T31)</f>
        <v>49133.618343647453</v>
      </c>
      <c r="V23" s="121">
        <f>Vstupy!U33*Vstupy!U29/(1+Vstupy!U31)</f>
        <v>49035.351106960159</v>
      </c>
      <c r="W23" s="121">
        <f>Vstupy!V33*Vstupy!V29/(1+Vstupy!V31)</f>
        <v>48937.280404746234</v>
      </c>
      <c r="X23" s="121">
        <f>Vstupy!W33*Vstupy!W29/(1+Vstupy!W31)</f>
        <v>48839.405843936744</v>
      </c>
      <c r="Y23" s="121">
        <f>Vstupy!X33*Vstupy!X29/(1+Vstupy!X31)</f>
        <v>48741.727032248869</v>
      </c>
      <c r="Z23" s="121">
        <f>Vstupy!Y33*Vstupy!Y29/(1+Vstupy!Y31)</f>
        <v>48644.243578184374</v>
      </c>
      <c r="AA23" s="121">
        <f>Vstupy!Z33*Vstupy!Z29/(1+Vstupy!Z31)</f>
        <v>48546.955091028001</v>
      </c>
      <c r="AB23" s="121">
        <f>Vstupy!AA33*Vstupy!AA29/(1+Vstupy!AA31)</f>
        <v>48449.861180845939</v>
      </c>
      <c r="AC23" s="121">
        <f>Vstupy!AB33*Vstupy!AB29/(1+Vstupy!AB31)</f>
        <v>48352.961458484249</v>
      </c>
      <c r="AD23" s="121">
        <f>Vstupy!AC33*Vstupy!AC29/(1+Vstupy!AC31)</f>
        <v>48256.255535567281</v>
      </c>
      <c r="AE23" s="121">
        <f>Vstupy!AD33*Vstupy!AD29/(1+Vstupy!AD31)</f>
        <v>48159.743024496151</v>
      </c>
      <c r="AF23" s="121">
        <f>Vstupy!AE33*Vstupy!AE29/(1+Vstupy!AE31)</f>
        <v>48063.423538447154</v>
      </c>
      <c r="AG23" s="121">
        <f>Vstupy!AF33*Vstupy!AF29/(1+Vstupy!AF31)</f>
        <v>47967.296691370255</v>
      </c>
      <c r="AH23" s="121">
        <f>Vstupy!AG33*Vstupy!AG29/(1+Vstupy!AG31)</f>
        <v>47871.36209798752</v>
      </c>
      <c r="AI23" s="121">
        <f>Vstupy!AH33*Vstupy!AH29/(1+Vstupy!AH31)</f>
        <v>47775.619373791546</v>
      </c>
      <c r="AJ23" s="121">
        <f>Vstupy!AI33*Vstupy!AI29/(1+Vstupy!AI31)</f>
        <v>47680.06813504397</v>
      </c>
      <c r="AK23" s="121">
        <f>Vstupy!AJ33*Vstupy!AJ29/(1+Vstupy!AJ31)</f>
        <v>47584.707998773876</v>
      </c>
      <c r="AL23" s="121">
        <f>Vstupy!AK33*Vstupy!AK29/(1+Vstupy!AK31)</f>
        <v>47489.538582776324</v>
      </c>
    </row>
    <row r="24" spans="2:38" ht="12" thickBot="1" x14ac:dyDescent="0.25">
      <c r="B24" s="27" t="s">
        <v>194</v>
      </c>
      <c r="C24" s="117">
        <f t="shared" si="42"/>
        <v>1856557.4686106809</v>
      </c>
      <c r="D24" s="118">
        <f>D22-D23</f>
        <v>0</v>
      </c>
      <c r="E24" s="118">
        <f t="shared" ref="E24:AG24" si="43">E22-E23</f>
        <v>0</v>
      </c>
      <c r="F24" s="118">
        <f t="shared" si="43"/>
        <v>0</v>
      </c>
      <c r="G24" s="118">
        <f t="shared" si="43"/>
        <v>58706.262777254138</v>
      </c>
      <c r="H24" s="118">
        <f t="shared" si="43"/>
        <v>58706.262777254138</v>
      </c>
      <c r="I24" s="118">
        <f t="shared" si="43"/>
        <v>58706.262777254138</v>
      </c>
      <c r="J24" s="118">
        <f t="shared" si="43"/>
        <v>58706.262777254138</v>
      </c>
      <c r="K24" s="118">
        <f t="shared" si="43"/>
        <v>58706.262777254138</v>
      </c>
      <c r="L24" s="118">
        <f t="shared" si="43"/>
        <v>58706.262777254138</v>
      </c>
      <c r="M24" s="118">
        <f t="shared" si="43"/>
        <v>58706.262777254138</v>
      </c>
      <c r="N24" s="118">
        <f t="shared" si="43"/>
        <v>58706.262777254138</v>
      </c>
      <c r="O24" s="118">
        <f t="shared" si="43"/>
        <v>58706.262777254138</v>
      </c>
      <c r="P24" s="118">
        <f t="shared" si="43"/>
        <v>58706.262777254138</v>
      </c>
      <c r="Q24" s="118">
        <f t="shared" si="43"/>
        <v>58706.262777254138</v>
      </c>
      <c r="R24" s="118">
        <f t="shared" si="43"/>
        <v>58706.262777254138</v>
      </c>
      <c r="S24" s="118">
        <f t="shared" si="43"/>
        <v>58706.262777254138</v>
      </c>
      <c r="T24" s="118">
        <f t="shared" si="43"/>
        <v>58588.850251699623</v>
      </c>
      <c r="U24" s="118">
        <f t="shared" si="43"/>
        <v>58471.672551196229</v>
      </c>
      <c r="V24" s="118">
        <f t="shared" si="43"/>
        <v>58354.729206093842</v>
      </c>
      <c r="W24" s="118">
        <f t="shared" si="43"/>
        <v>58238.019747681647</v>
      </c>
      <c r="X24" s="118">
        <f t="shared" si="43"/>
        <v>58121.543708186284</v>
      </c>
      <c r="Y24" s="118">
        <f t="shared" si="43"/>
        <v>58005.300620769915</v>
      </c>
      <c r="Z24" s="118">
        <f t="shared" si="43"/>
        <v>57889.290019528366</v>
      </c>
      <c r="AA24" s="118">
        <f t="shared" si="43"/>
        <v>57773.511439489295</v>
      </c>
      <c r="AB24" s="118">
        <f t="shared" si="43"/>
        <v>57657.964416610324</v>
      </c>
      <c r="AC24" s="118">
        <f t="shared" si="43"/>
        <v>57542.648487777114</v>
      </c>
      <c r="AD24" s="118">
        <f t="shared" si="43"/>
        <v>57427.563190801549</v>
      </c>
      <c r="AE24" s="118">
        <f t="shared" si="43"/>
        <v>57312.708064419938</v>
      </c>
      <c r="AF24" s="118">
        <f t="shared" si="43"/>
        <v>57198.082648291092</v>
      </c>
      <c r="AG24" s="118">
        <f t="shared" si="43"/>
        <v>57083.686482994526</v>
      </c>
      <c r="AH24" s="118">
        <f t="shared" ref="AH24:AL24" si="44">AH22-AH23</f>
        <v>56969.519110028537</v>
      </c>
      <c r="AI24" s="118">
        <f t="shared" si="44"/>
        <v>56855.580071808479</v>
      </c>
      <c r="AJ24" s="118">
        <f t="shared" si="44"/>
        <v>56741.868911664875</v>
      </c>
      <c r="AK24" s="118">
        <f t="shared" si="44"/>
        <v>56628.385173841532</v>
      </c>
      <c r="AL24" s="118">
        <f t="shared" si="44"/>
        <v>56515.128403493858</v>
      </c>
    </row>
    <row r="25" spans="2:38" ht="12" thickTop="1" x14ac:dyDescent="0.2">
      <c r="B25" s="29" t="s">
        <v>146</v>
      </c>
      <c r="C25" s="117">
        <f t="shared" si="42"/>
        <v>79831.971150259284</v>
      </c>
      <c r="D25" s="119">
        <f>D24*Parametre!$C$54</f>
        <v>0</v>
      </c>
      <c r="E25" s="119">
        <f>E24*Parametre!$C$54</f>
        <v>0</v>
      </c>
      <c r="F25" s="119">
        <f>F24*Parametre!$C$54</f>
        <v>0</v>
      </c>
      <c r="G25" s="119">
        <f>G24*Parametre!$C$54</f>
        <v>2524.3692994219277</v>
      </c>
      <c r="H25" s="119">
        <f>H24*Parametre!$C$54</f>
        <v>2524.3692994219277</v>
      </c>
      <c r="I25" s="119">
        <f>I24*Parametre!$C$54</f>
        <v>2524.3692994219277</v>
      </c>
      <c r="J25" s="119">
        <f>J24*Parametre!$C$54</f>
        <v>2524.3692994219277</v>
      </c>
      <c r="K25" s="119">
        <f>K24*Parametre!$C$54</f>
        <v>2524.3692994219277</v>
      </c>
      <c r="L25" s="119">
        <f>L24*Parametre!$C$54</f>
        <v>2524.3692994219277</v>
      </c>
      <c r="M25" s="119">
        <f>M24*Parametre!$C$54</f>
        <v>2524.3692994219277</v>
      </c>
      <c r="N25" s="119">
        <f>N24*Parametre!$C$54</f>
        <v>2524.3692994219277</v>
      </c>
      <c r="O25" s="119">
        <f>O24*Parametre!$C$54</f>
        <v>2524.3692994219277</v>
      </c>
      <c r="P25" s="119">
        <f>P24*Parametre!$C$54</f>
        <v>2524.3692994219277</v>
      </c>
      <c r="Q25" s="119">
        <f>Q24*Parametre!$C$54</f>
        <v>2524.3692994219277</v>
      </c>
      <c r="R25" s="119">
        <f>R24*Parametre!$C$54</f>
        <v>2524.3692994219277</v>
      </c>
      <c r="S25" s="119">
        <f>S24*Parametre!$C$54</f>
        <v>2524.3692994219277</v>
      </c>
      <c r="T25" s="119">
        <f>T24*Parametre!$C$54</f>
        <v>2519.3205608230837</v>
      </c>
      <c r="U25" s="119">
        <f>U24*Parametre!$C$54</f>
        <v>2514.2819197014378</v>
      </c>
      <c r="V25" s="119">
        <f>V24*Parametre!$C$54</f>
        <v>2509.2533558620348</v>
      </c>
      <c r="W25" s="119">
        <f>W24*Parametre!$C$54</f>
        <v>2504.2348491503108</v>
      </c>
      <c r="X25" s="119">
        <f>X24*Parametre!$C$54</f>
        <v>2499.22637945201</v>
      </c>
      <c r="Y25" s="119">
        <f>Y24*Parametre!$C$54</f>
        <v>2494.2279266931059</v>
      </c>
      <c r="Z25" s="119">
        <f>Z24*Parametre!$C$54</f>
        <v>2489.2394708397196</v>
      </c>
      <c r="AA25" s="119">
        <f>AA24*Parametre!$C$54</f>
        <v>2484.2609918980397</v>
      </c>
      <c r="AB25" s="119">
        <f>AB24*Parametre!$C$54</f>
        <v>2479.2924699142436</v>
      </c>
      <c r="AC25" s="119">
        <f>AC24*Parametre!$C$54</f>
        <v>2474.3338849744159</v>
      </c>
      <c r="AD25" s="119">
        <f>AD24*Parametre!$C$54</f>
        <v>2469.3852172044662</v>
      </c>
      <c r="AE25" s="119">
        <f>AE24*Parametre!$C$54</f>
        <v>2464.4464467700573</v>
      </c>
      <c r="AF25" s="119">
        <f>AF24*Parametre!$C$54</f>
        <v>2459.5175538765166</v>
      </c>
      <c r="AG25" s="119">
        <f>AG24*Parametre!$C$54</f>
        <v>2454.5985187687643</v>
      </c>
      <c r="AH25" s="119">
        <f>AH24*Parametre!$C$54</f>
        <v>2449.6893217312268</v>
      </c>
      <c r="AI25" s="119">
        <f>AI24*Parametre!$C$54</f>
        <v>2444.7899430877642</v>
      </c>
      <c r="AJ25" s="119">
        <f>AJ24*Parametre!$C$54</f>
        <v>2439.9003632015892</v>
      </c>
      <c r="AK25" s="119">
        <f>AK24*Parametre!$C$54</f>
        <v>2435.0205624751857</v>
      </c>
      <c r="AL25" s="119">
        <f>AL24*Parametre!$C$54</f>
        <v>2430.1505213502355</v>
      </c>
    </row>
    <row r="26" spans="2:38" x14ac:dyDescent="0.2">
      <c r="B26" s="3" t="s">
        <v>102</v>
      </c>
      <c r="C26" s="117">
        <f t="shared" si="42"/>
        <v>475278.71196433424</v>
      </c>
      <c r="D26" s="117">
        <f>D24*Parametre!$D$54</f>
        <v>0</v>
      </c>
      <c r="E26" s="117">
        <f>E24*Parametre!$D$54</f>
        <v>0</v>
      </c>
      <c r="F26" s="117">
        <f>F24*Parametre!$D$54</f>
        <v>0</v>
      </c>
      <c r="G26" s="117">
        <f>G24*Parametre!$D$54</f>
        <v>15028.80327097706</v>
      </c>
      <c r="H26" s="117">
        <f>H24*Parametre!$D$54</f>
        <v>15028.80327097706</v>
      </c>
      <c r="I26" s="117">
        <f>I24*Parametre!$D$54</f>
        <v>15028.80327097706</v>
      </c>
      <c r="J26" s="117">
        <f>J24*Parametre!$D$54</f>
        <v>15028.80327097706</v>
      </c>
      <c r="K26" s="117">
        <f>K24*Parametre!$D$54</f>
        <v>15028.80327097706</v>
      </c>
      <c r="L26" s="117">
        <f>L24*Parametre!$D$54</f>
        <v>15028.80327097706</v>
      </c>
      <c r="M26" s="117">
        <f>M24*Parametre!$D$54</f>
        <v>15028.80327097706</v>
      </c>
      <c r="N26" s="117">
        <f>N24*Parametre!$D$54</f>
        <v>15028.80327097706</v>
      </c>
      <c r="O26" s="117">
        <f>O24*Parametre!$D$54</f>
        <v>15028.80327097706</v>
      </c>
      <c r="P26" s="117">
        <f>P24*Parametre!$D$54</f>
        <v>15028.80327097706</v>
      </c>
      <c r="Q26" s="117">
        <f>Q24*Parametre!$D$54</f>
        <v>15028.80327097706</v>
      </c>
      <c r="R26" s="117">
        <f>R24*Parametre!$D$54</f>
        <v>15028.80327097706</v>
      </c>
      <c r="S26" s="117">
        <f>S24*Parametre!$D$54</f>
        <v>15028.80327097706</v>
      </c>
      <c r="T26" s="117">
        <f>T24*Parametre!$D$54</f>
        <v>14998.745664435104</v>
      </c>
      <c r="U26" s="117">
        <f>U24*Parametre!$D$54</f>
        <v>14968.748173106234</v>
      </c>
      <c r="V26" s="117">
        <f>V24*Parametre!$D$54</f>
        <v>14938.810676760024</v>
      </c>
      <c r="W26" s="117">
        <f>W24*Parametre!$D$54</f>
        <v>14908.933055406502</v>
      </c>
      <c r="X26" s="117">
        <f>X24*Parametre!$D$54</f>
        <v>14879.11518929569</v>
      </c>
      <c r="Y26" s="117">
        <f>Y24*Parametre!$D$54</f>
        <v>14849.356958917098</v>
      </c>
      <c r="Z26" s="117">
        <f>Z24*Parametre!$D$54</f>
        <v>14819.658244999262</v>
      </c>
      <c r="AA26" s="117">
        <f>AA24*Parametre!$D$54</f>
        <v>14790.01892850926</v>
      </c>
      <c r="AB26" s="117">
        <f>AB24*Parametre!$D$54</f>
        <v>14760.438890652244</v>
      </c>
      <c r="AC26" s="117">
        <f>AC24*Parametre!$D$54</f>
        <v>14730.918012870941</v>
      </c>
      <c r="AD26" s="117">
        <f>AD24*Parametre!$D$54</f>
        <v>14701.456176845197</v>
      </c>
      <c r="AE26" s="117">
        <f>AE24*Parametre!$D$54</f>
        <v>14672.053264491504</v>
      </c>
      <c r="AF26" s="117">
        <f>AF24*Parametre!$D$54</f>
        <v>14642.709157962519</v>
      </c>
      <c r="AG26" s="117">
        <f>AG24*Parametre!$D$54</f>
        <v>14613.4237396466</v>
      </c>
      <c r="AH26" s="117">
        <f>AH24*Parametre!$D$54</f>
        <v>14584.196892167305</v>
      </c>
      <c r="AI26" s="117">
        <f>AI24*Parametre!$D$54</f>
        <v>14555.028498382972</v>
      </c>
      <c r="AJ26" s="117">
        <f>AJ24*Parametre!$D$54</f>
        <v>14525.918441386208</v>
      </c>
      <c r="AK26" s="117">
        <f>AK24*Parametre!$D$54</f>
        <v>14496.866604503433</v>
      </c>
      <c r="AL26" s="117">
        <f>AL24*Parametre!$D$54</f>
        <v>14467.872871294428</v>
      </c>
    </row>
    <row r="27" spans="2:38" x14ac:dyDescent="0.2">
      <c r="B27" s="3" t="s">
        <v>103</v>
      </c>
      <c r="C27" s="117">
        <f t="shared" si="42"/>
        <v>1301446.785496087</v>
      </c>
      <c r="D27" s="117">
        <f>D24*Parametre!$E$54</f>
        <v>0</v>
      </c>
      <c r="E27" s="117">
        <f>E24*Parametre!$E$54</f>
        <v>0</v>
      </c>
      <c r="F27" s="117">
        <f>F24*Parametre!$E$54</f>
        <v>0</v>
      </c>
      <c r="G27" s="117">
        <f>G24*Parametre!$E$54</f>
        <v>41153.090206855151</v>
      </c>
      <c r="H27" s="117">
        <f>H24*Parametre!$E$54</f>
        <v>41153.090206855151</v>
      </c>
      <c r="I27" s="117">
        <f>I24*Parametre!$E$54</f>
        <v>41153.090206855151</v>
      </c>
      <c r="J27" s="117">
        <f>J24*Parametre!$E$54</f>
        <v>41153.090206855151</v>
      </c>
      <c r="K27" s="117">
        <f>K24*Parametre!$E$54</f>
        <v>41153.090206855151</v>
      </c>
      <c r="L27" s="117">
        <f>L24*Parametre!$E$54</f>
        <v>41153.090206855151</v>
      </c>
      <c r="M27" s="117">
        <f>M24*Parametre!$E$54</f>
        <v>41153.090206855151</v>
      </c>
      <c r="N27" s="117">
        <f>N24*Parametre!$E$54</f>
        <v>41153.090206855151</v>
      </c>
      <c r="O27" s="117">
        <f>O24*Parametre!$E$54</f>
        <v>41153.090206855151</v>
      </c>
      <c r="P27" s="117">
        <f>P24*Parametre!$E$54</f>
        <v>41153.090206855151</v>
      </c>
      <c r="Q27" s="117">
        <f>Q24*Parametre!$E$54</f>
        <v>41153.090206855151</v>
      </c>
      <c r="R27" s="117">
        <f>R24*Parametre!$E$54</f>
        <v>41153.090206855151</v>
      </c>
      <c r="S27" s="117">
        <f>S24*Parametre!$E$54</f>
        <v>41153.090206855151</v>
      </c>
      <c r="T27" s="117">
        <f>T24*Parametre!$E$54</f>
        <v>41070.784026441434</v>
      </c>
      <c r="U27" s="117">
        <f>U24*Parametre!$E$54</f>
        <v>40988.642458388553</v>
      </c>
      <c r="V27" s="117">
        <f>V24*Parametre!$E$54</f>
        <v>40906.665173471782</v>
      </c>
      <c r="W27" s="117">
        <f>W24*Parametre!$E$54</f>
        <v>40824.85184312483</v>
      </c>
      <c r="X27" s="117">
        <f>X24*Parametre!$E$54</f>
        <v>40743.202139438581</v>
      </c>
      <c r="Y27" s="117">
        <f>Y24*Parametre!$E$54</f>
        <v>40661.715735159705</v>
      </c>
      <c r="Z27" s="117">
        <f>Z24*Parametre!$E$54</f>
        <v>40580.392303689383</v>
      </c>
      <c r="AA27" s="117">
        <f>AA24*Parametre!$E$54</f>
        <v>40499.231519081994</v>
      </c>
      <c r="AB27" s="117">
        <f>AB24*Parametre!$E$54</f>
        <v>40418.233056043835</v>
      </c>
      <c r="AC27" s="117">
        <f>AC24*Parametre!$E$54</f>
        <v>40337.396589931755</v>
      </c>
      <c r="AD27" s="117">
        <f>AD24*Parametre!$E$54</f>
        <v>40256.721796751881</v>
      </c>
      <c r="AE27" s="117">
        <f>AE24*Parametre!$E$54</f>
        <v>40176.20835315837</v>
      </c>
      <c r="AF27" s="117">
        <f>AF24*Parametre!$E$54</f>
        <v>40095.855936452055</v>
      </c>
      <c r="AG27" s="117">
        <f>AG24*Parametre!$E$54</f>
        <v>40015.664224579159</v>
      </c>
      <c r="AH27" s="117">
        <f>AH24*Parametre!$E$54</f>
        <v>39935.632896130002</v>
      </c>
      <c r="AI27" s="117">
        <f>AI24*Parametre!$E$54</f>
        <v>39855.761630337744</v>
      </c>
      <c r="AJ27" s="117">
        <f>AJ24*Parametre!$E$54</f>
        <v>39776.050107077077</v>
      </c>
      <c r="AK27" s="117">
        <f>AK24*Parametre!$E$54</f>
        <v>39696.498006862908</v>
      </c>
      <c r="AL27" s="117">
        <f>AL24*Parametre!$E$54</f>
        <v>39617.105010849191</v>
      </c>
    </row>
    <row r="29" spans="2:38" x14ac:dyDescent="0.2">
      <c r="B29" s="15" t="s">
        <v>195</v>
      </c>
    </row>
    <row r="30" spans="2:38" x14ac:dyDescent="0.2">
      <c r="B30" s="8" t="s">
        <v>146</v>
      </c>
      <c r="C30" s="117">
        <f>SUM(D30:AL30)</f>
        <v>2125864.8392767822</v>
      </c>
      <c r="D30" s="117">
        <f>D25*Parametre!C58</f>
        <v>0</v>
      </c>
      <c r="E30" s="117">
        <f>E25*Parametre!D58</f>
        <v>0</v>
      </c>
      <c r="F30" s="117">
        <f>F25*Parametre!E58</f>
        <v>0</v>
      </c>
      <c r="G30" s="117">
        <f>G25*Parametre!F58</f>
        <v>55864.292596207255</v>
      </c>
      <c r="H30" s="117">
        <f>H25*Parametre!G58</f>
        <v>56621.603386033836</v>
      </c>
      <c r="I30" s="117">
        <f>I25*Parametre!H58</f>
        <v>57429.401561848856</v>
      </c>
      <c r="J30" s="117">
        <f>J25*Parametre!I58</f>
        <v>58161.468658681209</v>
      </c>
      <c r="K30" s="117">
        <f>K25*Parametre!J58</f>
        <v>58893.535755513571</v>
      </c>
      <c r="L30" s="117">
        <f>L25*Parametre!K58</f>
        <v>59600.359159351712</v>
      </c>
      <c r="M30" s="117">
        <f>M25*Parametre!L58</f>
        <v>60307.182563189854</v>
      </c>
      <c r="N30" s="117">
        <f>N25*Parametre!M58</f>
        <v>61039.249660022215</v>
      </c>
      <c r="O30" s="117">
        <f>O25*Parametre!N58</f>
        <v>61771.316756854569</v>
      </c>
      <c r="P30" s="117">
        <f>P25*Parametre!O58</f>
        <v>62503.383853686937</v>
      </c>
      <c r="Q30" s="117">
        <f>Q25*Parametre!P58</f>
        <v>63260.694643513503</v>
      </c>
      <c r="R30" s="117">
        <f>R25*Parametre!Q58</f>
        <v>64018.005433340084</v>
      </c>
      <c r="S30" s="117">
        <f>S25*Parametre!R58</f>
        <v>64775.316223166665</v>
      </c>
      <c r="T30" s="117">
        <f>T25*Parametre!S58</f>
        <v>65426.754964575484</v>
      </c>
      <c r="U30" s="117">
        <f>U25*Parametre!T58</f>
        <v>66075.328849753787</v>
      </c>
      <c r="V30" s="117">
        <f>V25*Parametre!U58</f>
        <v>66620.676598137026</v>
      </c>
      <c r="W30" s="117">
        <f>W25*Parametre!V58</f>
        <v>67188.621002702828</v>
      </c>
      <c r="X30" s="117">
        <f>X25*Parametre!W58</f>
        <v>67754.02714694399</v>
      </c>
      <c r="Y30" s="117">
        <f>Y25*Parametre!X58</f>
        <v>68316.902912124177</v>
      </c>
      <c r="Z30" s="117">
        <f>Z25*Parametre!Y58</f>
        <v>68877.256158135046</v>
      </c>
      <c r="AA30" s="117">
        <f>AA25*Parametre!Z58</f>
        <v>69459.937333469192</v>
      </c>
      <c r="AB30" s="117">
        <f>AB25*Parametre!AA58</f>
        <v>70040.012275077388</v>
      </c>
      <c r="AC30" s="117">
        <f>AC25*Parametre!AB58</f>
        <v>70617.489077169826</v>
      </c>
      <c r="AD30" s="117">
        <f>AD25*Parametre!AC58</f>
        <v>71217.069664176801</v>
      </c>
      <c r="AE30" s="117">
        <f>AE25*Parametre!AD58</f>
        <v>71813.969458879466</v>
      </c>
      <c r="AF30" s="117">
        <f>AF25*Parametre!AE58</f>
        <v>72359.006435047122</v>
      </c>
      <c r="AG30" s="117">
        <f>AG25*Parametre!AF58</f>
        <v>72901.576007432304</v>
      </c>
      <c r="AH30" s="117">
        <f>AH25*Parametre!AG58</f>
        <v>73466.182758719486</v>
      </c>
      <c r="AI30" s="117">
        <f>AI25*Parametre!AH58</f>
        <v>74028.239476697505</v>
      </c>
      <c r="AJ30" s="117">
        <f>AJ25*Parametre!AI58</f>
        <v>74587.754103072584</v>
      </c>
      <c r="AK30" s="117">
        <f>AK25*Parametre!AJ58</f>
        <v>75144.734557984222</v>
      </c>
      <c r="AL30" s="117">
        <f>AL25*Parametre!AK58</f>
        <v>75723.490245273337</v>
      </c>
    </row>
    <row r="31" spans="2:38" x14ac:dyDescent="0.2">
      <c r="B31" s="8" t="s">
        <v>102</v>
      </c>
      <c r="C31" s="117">
        <f t="shared" ref="C31:C32" si="45">SUM(D31:AQ31)</f>
        <v>5969447.5226525832</v>
      </c>
      <c r="D31" s="117">
        <f>D26*Parametre!C59</f>
        <v>0</v>
      </c>
      <c r="E31" s="117">
        <f>E26*Parametre!D59</f>
        <v>0</v>
      </c>
      <c r="F31" s="117">
        <f>F26*Parametre!E59</f>
        <v>0</v>
      </c>
      <c r="G31" s="117">
        <f>G26*Parametre!F59</f>
        <v>156750.41811629073</v>
      </c>
      <c r="H31" s="117">
        <f>H26*Parametre!G59</f>
        <v>158854.45057422752</v>
      </c>
      <c r="I31" s="117">
        <f>I26*Parametre!H59</f>
        <v>161108.77106487408</v>
      </c>
      <c r="J31" s="117">
        <f>J26*Parametre!I59</f>
        <v>163212.80352281086</v>
      </c>
      <c r="K31" s="117">
        <f>K26*Parametre!J59</f>
        <v>165316.83598074765</v>
      </c>
      <c r="L31" s="117">
        <f>L26*Parametre!K59</f>
        <v>167270.58040597467</v>
      </c>
      <c r="M31" s="117">
        <f>M26*Parametre!L59</f>
        <v>169224.32483120169</v>
      </c>
      <c r="N31" s="117">
        <f>N26*Parametre!M59</f>
        <v>171328.35728913848</v>
      </c>
      <c r="O31" s="117">
        <f>O26*Parametre!N59</f>
        <v>173432.38974707524</v>
      </c>
      <c r="P31" s="117">
        <f>P26*Parametre!O59</f>
        <v>175536.42220501206</v>
      </c>
      <c r="Q31" s="117">
        <f>Q26*Parametre!P59</f>
        <v>177640.45466294885</v>
      </c>
      <c r="R31" s="117">
        <f>R26*Parametre!Q59</f>
        <v>179744.48712088563</v>
      </c>
      <c r="S31" s="117">
        <f>S26*Parametre!R59</f>
        <v>181848.51957882242</v>
      </c>
      <c r="T31" s="117">
        <f>T26*Parametre!S59</f>
        <v>183734.63438933002</v>
      </c>
      <c r="U31" s="117">
        <f>U26*Parametre!T59</f>
        <v>185612.47734651732</v>
      </c>
      <c r="V31" s="117">
        <f>V26*Parametre!U59</f>
        <v>187183.29777980308</v>
      </c>
      <c r="W31" s="117">
        <f>W26*Parametre!V59</f>
        <v>188747.09248144631</v>
      </c>
      <c r="X31" s="117">
        <f>X26*Parametre!W59</f>
        <v>190303.88327109185</v>
      </c>
      <c r="Y31" s="117">
        <f>Y26*Parametre!X59</f>
        <v>191853.69190920892</v>
      </c>
      <c r="Z31" s="117">
        <f>Z26*Parametre!Y59</f>
        <v>193396.54009724039</v>
      </c>
      <c r="AA31" s="117">
        <f>AA26*Parametre!Z59</f>
        <v>195080.34966703714</v>
      </c>
      <c r="AB31" s="117">
        <f>AB26*Parametre!AA59</f>
        <v>196756.6504123944</v>
      </c>
      <c r="AC31" s="117">
        <f>AC26*Parametre!AB59</f>
        <v>198425.46563337158</v>
      </c>
      <c r="AD31" s="117">
        <f>AD26*Parametre!AC59</f>
        <v>200086.8185668631</v>
      </c>
      <c r="AE31" s="117">
        <f>AE26*Parametre!AD59</f>
        <v>201740.73238675817</v>
      </c>
      <c r="AF31" s="117">
        <f>AF26*Parametre!AE59</f>
        <v>203240.80311251979</v>
      </c>
      <c r="AG31" s="117">
        <f>AG26*Parametre!AF59</f>
        <v>204734.06659244886</v>
      </c>
      <c r="AH31" s="117">
        <f>AH26*Parametre!AG59</f>
        <v>206220.5440552457</v>
      </c>
      <c r="AI31" s="117">
        <f>AI26*Parametre!AH59</f>
        <v>207845.80695690881</v>
      </c>
      <c r="AJ31" s="117">
        <f>AJ26*Parametre!AI59</f>
        <v>209463.7439247891</v>
      </c>
      <c r="AK31" s="117">
        <f>AK26*Parametre!AJ59</f>
        <v>211074.37776157001</v>
      </c>
      <c r="AL31" s="117">
        <f>AL26*Parametre!AK59</f>
        <v>212677.7312080281</v>
      </c>
    </row>
    <row r="32" spans="2:38" x14ac:dyDescent="0.2">
      <c r="B32" s="8" t="s">
        <v>103</v>
      </c>
      <c r="C32" s="120">
        <f t="shared" si="45"/>
        <v>10690804.246248528</v>
      </c>
      <c r="D32" s="117">
        <f>D27*Parametre!C60</f>
        <v>0</v>
      </c>
      <c r="E32" s="117">
        <f>E27*Parametre!D60</f>
        <v>0</v>
      </c>
      <c r="F32" s="117">
        <f>F27*Parametre!E60</f>
        <v>0</v>
      </c>
      <c r="G32" s="117">
        <f>G27*Parametre!F60</f>
        <v>280664.07521075214</v>
      </c>
      <c r="H32" s="117">
        <f>H27*Parametre!G60</f>
        <v>284367.8533293691</v>
      </c>
      <c r="I32" s="117">
        <f>I27*Parametre!H60</f>
        <v>288483.1623500546</v>
      </c>
      <c r="J32" s="117">
        <f>J27*Parametre!I60</f>
        <v>292186.94046867156</v>
      </c>
      <c r="K32" s="117">
        <f>K27*Parametre!J60</f>
        <v>295890.71858728857</v>
      </c>
      <c r="L32" s="117">
        <f>L27*Parametre!K60</f>
        <v>299594.49670590553</v>
      </c>
      <c r="M32" s="117">
        <f>M27*Parametre!L60</f>
        <v>303298.27482452249</v>
      </c>
      <c r="N32" s="117">
        <f>N27*Parametre!M60</f>
        <v>307002.05294313945</v>
      </c>
      <c r="O32" s="117">
        <f>O27*Parametre!N60</f>
        <v>310705.83106175641</v>
      </c>
      <c r="P32" s="117">
        <f>P27*Parametre!O60</f>
        <v>314409.60918037331</v>
      </c>
      <c r="Q32" s="117">
        <f>Q27*Parametre!P60</f>
        <v>318113.38729899033</v>
      </c>
      <c r="R32" s="117">
        <f>R27*Parametre!Q60</f>
        <v>321817.16541760729</v>
      </c>
      <c r="S32" s="117">
        <f>S27*Parametre!R60</f>
        <v>325520.94353622425</v>
      </c>
      <c r="T32" s="117">
        <f>T27*Parametre!S60</f>
        <v>328566.27221153147</v>
      </c>
      <c r="U32" s="117">
        <f>U27*Parametre!T60</f>
        <v>332008.00391294726</v>
      </c>
      <c r="V32" s="117">
        <f>V27*Parametre!U60</f>
        <v>334616.52111899917</v>
      </c>
      <c r="W32" s="117">
        <f>W27*Parametre!V60</f>
        <v>337621.5247426423</v>
      </c>
      <c r="X32" s="117">
        <f>X27*Parametre!W60</f>
        <v>340613.16988570651</v>
      </c>
      <c r="Y32" s="117">
        <f>Y27*Parametre!X60</f>
        <v>343591.4979620995</v>
      </c>
      <c r="Z32" s="117">
        <f>Z27*Parametre!Y60</f>
        <v>346556.55027350731</v>
      </c>
      <c r="AA32" s="117">
        <f>AA27*Parametre!Z60</f>
        <v>349508.36800967762</v>
      </c>
      <c r="AB32" s="117">
        <f>AB27*Parametre!AA60</f>
        <v>352446.99224870227</v>
      </c>
      <c r="AC32" s="117">
        <f>AC27*Parametre!AB60</f>
        <v>355372.46395729878</v>
      </c>
      <c r="AD32" s="117">
        <f>AD27*Parametre!AC60</f>
        <v>358284.82399109175</v>
      </c>
      <c r="AE32" s="117">
        <f>AE27*Parametre!AD60</f>
        <v>361184.11309489375</v>
      </c>
      <c r="AF32" s="117">
        <f>AF27*Parametre!AE60</f>
        <v>364070.37190298468</v>
      </c>
      <c r="AG32" s="117">
        <f>AG27*Parametre!AF60</f>
        <v>366943.64093939087</v>
      </c>
      <c r="AH32" s="117">
        <f>AH27*Parametre!AG60</f>
        <v>369803.96061816381</v>
      </c>
      <c r="AI32" s="117">
        <f>AI27*Parametre!AH60</f>
        <v>372651.37124365789</v>
      </c>
      <c r="AJ32" s="117">
        <f>AJ27*Parametre!AI60</f>
        <v>375485.91301080759</v>
      </c>
      <c r="AK32" s="117">
        <f>AK27*Parametre!AJ60</f>
        <v>378307.62600540346</v>
      </c>
      <c r="AL32" s="117">
        <f>AL27*Parametre!AK60</f>
        <v>381116.55020436918</v>
      </c>
    </row>
    <row r="33" spans="2:38" x14ac:dyDescent="0.2">
      <c r="B33" s="228" t="s">
        <v>276</v>
      </c>
      <c r="C33" s="229">
        <f>SUM(D33:AL33)</f>
        <v>18786116.608177897</v>
      </c>
      <c r="D33" s="230">
        <f>SUM(D30:D32)</f>
        <v>0</v>
      </c>
      <c r="E33" s="229">
        <f t="shared" ref="E33:AG33" si="46">SUM(E30:E32)</f>
        <v>0</v>
      </c>
      <c r="F33" s="229">
        <f t="shared" si="46"/>
        <v>0</v>
      </c>
      <c r="G33" s="229">
        <f t="shared" si="46"/>
        <v>493278.78592325014</v>
      </c>
      <c r="H33" s="229">
        <f t="shared" si="46"/>
        <v>499843.90728963044</v>
      </c>
      <c r="I33" s="229">
        <f t="shared" si="46"/>
        <v>507021.33497677755</v>
      </c>
      <c r="J33" s="229">
        <f t="shared" si="46"/>
        <v>513561.21265016362</v>
      </c>
      <c r="K33" s="229">
        <f t="shared" si="46"/>
        <v>520101.09032354981</v>
      </c>
      <c r="L33" s="229">
        <f t="shared" si="46"/>
        <v>526465.43627123185</v>
      </c>
      <c r="M33" s="229">
        <f t="shared" si="46"/>
        <v>532829.78221891401</v>
      </c>
      <c r="N33" s="229">
        <f t="shared" si="46"/>
        <v>539369.65989230014</v>
      </c>
      <c r="O33" s="229">
        <f t="shared" si="46"/>
        <v>545909.53756568627</v>
      </c>
      <c r="P33" s="229">
        <f t="shared" si="46"/>
        <v>552449.41523907229</v>
      </c>
      <c r="Q33" s="229">
        <f t="shared" si="46"/>
        <v>559014.53660545265</v>
      </c>
      <c r="R33" s="229">
        <f t="shared" si="46"/>
        <v>565579.65797183302</v>
      </c>
      <c r="S33" s="229">
        <f t="shared" si="46"/>
        <v>572144.77933821338</v>
      </c>
      <c r="T33" s="229">
        <f t="shared" si="46"/>
        <v>577727.66156543698</v>
      </c>
      <c r="U33" s="229">
        <f t="shared" si="46"/>
        <v>583695.81010921835</v>
      </c>
      <c r="V33" s="229">
        <f t="shared" si="46"/>
        <v>588420.49549693929</v>
      </c>
      <c r="W33" s="229">
        <f t="shared" si="46"/>
        <v>593557.23822679138</v>
      </c>
      <c r="X33" s="229">
        <f t="shared" si="46"/>
        <v>598671.08030374232</v>
      </c>
      <c r="Y33" s="229">
        <f t="shared" si="46"/>
        <v>603762.09278343257</v>
      </c>
      <c r="Z33" s="229">
        <f t="shared" si="46"/>
        <v>608830.34652888274</v>
      </c>
      <c r="AA33" s="229">
        <f t="shared" si="46"/>
        <v>614048.65501018392</v>
      </c>
      <c r="AB33" s="229">
        <f t="shared" si="46"/>
        <v>619243.65493617405</v>
      </c>
      <c r="AC33" s="229">
        <f t="shared" si="46"/>
        <v>624415.41866784019</v>
      </c>
      <c r="AD33" s="229">
        <f t="shared" si="46"/>
        <v>629588.71222213167</v>
      </c>
      <c r="AE33" s="229">
        <f t="shared" si="46"/>
        <v>634738.81494053139</v>
      </c>
      <c r="AF33" s="229">
        <f t="shared" si="46"/>
        <v>639670.18145055161</v>
      </c>
      <c r="AG33" s="229">
        <f t="shared" si="46"/>
        <v>644579.28353927203</v>
      </c>
      <c r="AH33" s="229">
        <f t="shared" ref="AH33:AL33" si="47">SUM(AH30:AH32)</f>
        <v>649490.68743212894</v>
      </c>
      <c r="AI33" s="229">
        <f t="shared" si="47"/>
        <v>654525.41767726419</v>
      </c>
      <c r="AJ33" s="229">
        <f t="shared" si="47"/>
        <v>659537.41103866929</v>
      </c>
      <c r="AK33" s="229">
        <f t="shared" si="47"/>
        <v>664526.73832495767</v>
      </c>
      <c r="AL33" s="229">
        <f t="shared" si="47"/>
        <v>669517.77165767062</v>
      </c>
    </row>
    <row r="34" spans="2:38" x14ac:dyDescent="0.2">
      <c r="B34" s="1" t="s">
        <v>375</v>
      </c>
    </row>
    <row r="36" spans="2:38" x14ac:dyDescent="0.2">
      <c r="B36" s="3"/>
      <c r="C36" s="3"/>
      <c r="D36" s="3" t="s">
        <v>10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2:38" x14ac:dyDescent="0.2">
      <c r="B37" s="4"/>
      <c r="C37" s="4"/>
      <c r="D37" s="5">
        <v>1</v>
      </c>
      <c r="E37" s="5">
        <v>2</v>
      </c>
      <c r="F37" s="5">
        <v>3</v>
      </c>
      <c r="G37" s="5">
        <v>4</v>
      </c>
      <c r="H37" s="5">
        <v>5</v>
      </c>
      <c r="I37" s="5">
        <v>6</v>
      </c>
      <c r="J37" s="5">
        <v>7</v>
      </c>
      <c r="K37" s="5">
        <v>8</v>
      </c>
      <c r="L37" s="5">
        <v>9</v>
      </c>
      <c r="M37" s="5">
        <v>10</v>
      </c>
      <c r="N37" s="5">
        <v>11</v>
      </c>
      <c r="O37" s="5">
        <v>12</v>
      </c>
      <c r="P37" s="5">
        <v>13</v>
      </c>
      <c r="Q37" s="5">
        <v>14</v>
      </c>
      <c r="R37" s="5">
        <v>15</v>
      </c>
      <c r="S37" s="5">
        <v>16</v>
      </c>
      <c r="T37" s="5">
        <v>17</v>
      </c>
      <c r="U37" s="5">
        <v>18</v>
      </c>
      <c r="V37" s="5">
        <v>19</v>
      </c>
      <c r="W37" s="5">
        <v>20</v>
      </c>
      <c r="X37" s="5">
        <v>21</v>
      </c>
      <c r="Y37" s="5">
        <v>22</v>
      </c>
      <c r="Z37" s="5">
        <v>23</v>
      </c>
      <c r="AA37" s="5">
        <v>24</v>
      </c>
      <c r="AB37" s="5">
        <v>25</v>
      </c>
      <c r="AC37" s="5">
        <v>26</v>
      </c>
      <c r="AD37" s="5">
        <v>27</v>
      </c>
      <c r="AE37" s="5">
        <v>28</v>
      </c>
      <c r="AF37" s="5">
        <v>29</v>
      </c>
      <c r="AG37" s="5">
        <v>30</v>
      </c>
      <c r="AH37" s="5">
        <v>31</v>
      </c>
      <c r="AI37" s="5">
        <v>32</v>
      </c>
      <c r="AJ37" s="5">
        <v>33</v>
      </c>
      <c r="AK37" s="5">
        <v>34</v>
      </c>
      <c r="AL37" s="5">
        <v>35</v>
      </c>
    </row>
    <row r="38" spans="2:38" x14ac:dyDescent="0.2">
      <c r="B38" s="6" t="s">
        <v>716</v>
      </c>
      <c r="C38" s="231" t="s">
        <v>9</v>
      </c>
      <c r="D38" s="7">
        <f>D4</f>
        <v>2025</v>
      </c>
      <c r="E38" s="7">
        <f>$D$4+D37</f>
        <v>2026</v>
      </c>
      <c r="F38" s="7">
        <f>$D$4+E37</f>
        <v>2027</v>
      </c>
      <c r="G38" s="7">
        <f t="shared" ref="G38" si="48">$D$4+F37</f>
        <v>2028</v>
      </c>
      <c r="H38" s="7">
        <f t="shared" ref="H38" si="49">$D$4+G37</f>
        <v>2029</v>
      </c>
      <c r="I38" s="7">
        <f t="shared" ref="I38" si="50">$D$4+H37</f>
        <v>2030</v>
      </c>
      <c r="J38" s="7">
        <f t="shared" ref="J38" si="51">$D$4+I37</f>
        <v>2031</v>
      </c>
      <c r="K38" s="7">
        <f t="shared" ref="K38" si="52">$D$4+J37</f>
        <v>2032</v>
      </c>
      <c r="L38" s="7">
        <f t="shared" ref="L38" si="53">$D$4+K37</f>
        <v>2033</v>
      </c>
      <c r="M38" s="7">
        <f t="shared" ref="M38" si="54">$D$4+L37</f>
        <v>2034</v>
      </c>
      <c r="N38" s="7">
        <f t="shared" ref="N38" si="55">$D$4+M37</f>
        <v>2035</v>
      </c>
      <c r="O38" s="7">
        <f t="shared" ref="O38" si="56">$D$4+N37</f>
        <v>2036</v>
      </c>
      <c r="P38" s="7">
        <f t="shared" ref="P38" si="57">$D$4+O37</f>
        <v>2037</v>
      </c>
      <c r="Q38" s="7">
        <f t="shared" ref="Q38" si="58">$D$4+P37</f>
        <v>2038</v>
      </c>
      <c r="R38" s="7">
        <f t="shared" ref="R38" si="59">$D$4+Q37</f>
        <v>2039</v>
      </c>
      <c r="S38" s="7">
        <f t="shared" ref="S38" si="60">$D$4+R37</f>
        <v>2040</v>
      </c>
      <c r="T38" s="7">
        <f t="shared" ref="T38" si="61">$D$4+S37</f>
        <v>2041</v>
      </c>
      <c r="U38" s="7">
        <f t="shared" ref="U38" si="62">$D$4+T37</f>
        <v>2042</v>
      </c>
      <c r="V38" s="7">
        <f t="shared" ref="V38" si="63">$D$4+U37</f>
        <v>2043</v>
      </c>
      <c r="W38" s="7">
        <f t="shared" ref="W38" si="64">$D$4+V37</f>
        <v>2044</v>
      </c>
      <c r="X38" s="7">
        <f t="shared" ref="X38" si="65">$D$4+W37</f>
        <v>2045</v>
      </c>
      <c r="Y38" s="7">
        <f t="shared" ref="Y38" si="66">$D$4+X37</f>
        <v>2046</v>
      </c>
      <c r="Z38" s="7">
        <f t="shared" ref="Z38" si="67">$D$4+Y37</f>
        <v>2047</v>
      </c>
      <c r="AA38" s="7">
        <f t="shared" ref="AA38" si="68">$D$4+Z37</f>
        <v>2048</v>
      </c>
      <c r="AB38" s="7">
        <f t="shared" ref="AB38" si="69">$D$4+AA37</f>
        <v>2049</v>
      </c>
      <c r="AC38" s="7">
        <f t="shared" ref="AC38" si="70">$D$4+AB37</f>
        <v>2050</v>
      </c>
      <c r="AD38" s="7">
        <f t="shared" ref="AD38" si="71">$D$4+AC37</f>
        <v>2051</v>
      </c>
      <c r="AE38" s="7">
        <f t="shared" ref="AE38" si="72">$D$4+AD37</f>
        <v>2052</v>
      </c>
      <c r="AF38" s="7">
        <f t="shared" ref="AF38" si="73">$D$4+AE37</f>
        <v>2053</v>
      </c>
      <c r="AG38" s="7">
        <f t="shared" ref="AG38" si="74">$D$4+AF37</f>
        <v>2054</v>
      </c>
      <c r="AH38" s="7">
        <f t="shared" ref="AH38" si="75">$D$4+AG37</f>
        <v>2055</v>
      </c>
      <c r="AI38" s="7">
        <f t="shared" ref="AI38" si="76">$D$4+AH37</f>
        <v>2056</v>
      </c>
      <c r="AJ38" s="7">
        <f t="shared" ref="AJ38" si="77">$D$4+AI37</f>
        <v>2057</v>
      </c>
      <c r="AK38" s="7">
        <f t="shared" ref="AK38" si="78">$D$4+AJ37</f>
        <v>2058</v>
      </c>
      <c r="AL38" s="7">
        <f t="shared" ref="AL38" si="79">$D$4+AK37</f>
        <v>2059</v>
      </c>
    </row>
    <row r="39" spans="2:38" x14ac:dyDescent="0.2">
      <c r="B39" s="3" t="s">
        <v>33</v>
      </c>
      <c r="C39" s="117">
        <f t="shared" ref="C39:C44" si="80">SUM(D39:AQ39)</f>
        <v>0</v>
      </c>
      <c r="D39" s="121">
        <v>0</v>
      </c>
      <c r="E39" s="121"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v>0</v>
      </c>
      <c r="M39" s="121"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v>0</v>
      </c>
      <c r="X39" s="121">
        <v>0</v>
      </c>
      <c r="Y39" s="121">
        <v>0</v>
      </c>
      <c r="Z39" s="121">
        <v>0</v>
      </c>
      <c r="AA39" s="121">
        <v>0</v>
      </c>
      <c r="AB39" s="121">
        <v>0</v>
      </c>
      <c r="AC39" s="121">
        <v>0</v>
      </c>
      <c r="AD39" s="121">
        <v>0</v>
      </c>
      <c r="AE39" s="121">
        <v>0</v>
      </c>
      <c r="AF39" s="121">
        <v>0</v>
      </c>
      <c r="AG39" s="121"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</row>
    <row r="40" spans="2:38" x14ac:dyDescent="0.2">
      <c r="B40" s="3" t="s">
        <v>34</v>
      </c>
      <c r="C40" s="117">
        <f t="shared" si="80"/>
        <v>0</v>
      </c>
      <c r="D40" s="121">
        <v>0</v>
      </c>
      <c r="E40" s="121"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0</v>
      </c>
      <c r="AC40" s="121">
        <v>0</v>
      </c>
      <c r="AD40" s="121">
        <v>0</v>
      </c>
      <c r="AE40" s="121">
        <v>0</v>
      </c>
      <c r="AF40" s="121"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</row>
    <row r="41" spans="2:38" ht="12" thickBot="1" x14ac:dyDescent="0.25">
      <c r="B41" s="27" t="s">
        <v>194</v>
      </c>
      <c r="C41" s="118">
        <f t="shared" si="80"/>
        <v>0</v>
      </c>
      <c r="D41" s="118">
        <f>D39-D40</f>
        <v>0</v>
      </c>
      <c r="E41" s="118">
        <f t="shared" ref="E41:AG41" si="81">E39-E40</f>
        <v>0</v>
      </c>
      <c r="F41" s="118">
        <f t="shared" si="81"/>
        <v>0</v>
      </c>
      <c r="G41" s="118">
        <f t="shared" si="81"/>
        <v>0</v>
      </c>
      <c r="H41" s="118">
        <f t="shared" si="81"/>
        <v>0</v>
      </c>
      <c r="I41" s="118">
        <f t="shared" si="81"/>
        <v>0</v>
      </c>
      <c r="J41" s="118">
        <f t="shared" si="81"/>
        <v>0</v>
      </c>
      <c r="K41" s="118">
        <f t="shared" si="81"/>
        <v>0</v>
      </c>
      <c r="L41" s="118">
        <f t="shared" si="81"/>
        <v>0</v>
      </c>
      <c r="M41" s="118">
        <f t="shared" si="81"/>
        <v>0</v>
      </c>
      <c r="N41" s="118">
        <f t="shared" si="81"/>
        <v>0</v>
      </c>
      <c r="O41" s="118">
        <f t="shared" si="81"/>
        <v>0</v>
      </c>
      <c r="P41" s="118">
        <f t="shared" si="81"/>
        <v>0</v>
      </c>
      <c r="Q41" s="118">
        <f t="shared" si="81"/>
        <v>0</v>
      </c>
      <c r="R41" s="118">
        <f t="shared" si="81"/>
        <v>0</v>
      </c>
      <c r="S41" s="118">
        <f t="shared" si="81"/>
        <v>0</v>
      </c>
      <c r="T41" s="118">
        <f t="shared" si="81"/>
        <v>0</v>
      </c>
      <c r="U41" s="118">
        <f t="shared" si="81"/>
        <v>0</v>
      </c>
      <c r="V41" s="118">
        <f t="shared" si="81"/>
        <v>0</v>
      </c>
      <c r="W41" s="118">
        <f t="shared" si="81"/>
        <v>0</v>
      </c>
      <c r="X41" s="118">
        <f t="shared" si="81"/>
        <v>0</v>
      </c>
      <c r="Y41" s="118">
        <f t="shared" si="81"/>
        <v>0</v>
      </c>
      <c r="Z41" s="118">
        <f t="shared" si="81"/>
        <v>0</v>
      </c>
      <c r="AA41" s="118">
        <f t="shared" si="81"/>
        <v>0</v>
      </c>
      <c r="AB41" s="118">
        <f t="shared" si="81"/>
        <v>0</v>
      </c>
      <c r="AC41" s="118">
        <f t="shared" si="81"/>
        <v>0</v>
      </c>
      <c r="AD41" s="118">
        <f t="shared" si="81"/>
        <v>0</v>
      </c>
      <c r="AE41" s="118">
        <f t="shared" si="81"/>
        <v>0</v>
      </c>
      <c r="AF41" s="118">
        <f t="shared" si="81"/>
        <v>0</v>
      </c>
      <c r="AG41" s="118">
        <f t="shared" si="81"/>
        <v>0</v>
      </c>
      <c r="AH41" s="118">
        <f t="shared" ref="AH41:AL41" si="82">AH39-AH40</f>
        <v>0</v>
      </c>
      <c r="AI41" s="118">
        <f t="shared" si="82"/>
        <v>0</v>
      </c>
      <c r="AJ41" s="118">
        <f t="shared" si="82"/>
        <v>0</v>
      </c>
      <c r="AK41" s="118">
        <f t="shared" si="82"/>
        <v>0</v>
      </c>
      <c r="AL41" s="118">
        <f t="shared" si="82"/>
        <v>0</v>
      </c>
    </row>
    <row r="42" spans="2:38" ht="12" thickTop="1" x14ac:dyDescent="0.2">
      <c r="B42" s="29" t="s">
        <v>146</v>
      </c>
      <c r="C42" s="119">
        <f t="shared" si="80"/>
        <v>0</v>
      </c>
      <c r="D42" s="119">
        <f>D41*Parametre!$C$54</f>
        <v>0</v>
      </c>
      <c r="E42" s="119">
        <f>E41*Parametre!$C$54</f>
        <v>0</v>
      </c>
      <c r="F42" s="119">
        <f>F41*Parametre!$C$54</f>
        <v>0</v>
      </c>
      <c r="G42" s="119">
        <f>G41*Parametre!$C$54</f>
        <v>0</v>
      </c>
      <c r="H42" s="119">
        <f>H41*Parametre!$C$54</f>
        <v>0</v>
      </c>
      <c r="I42" s="119">
        <f>I41*Parametre!$C$54</f>
        <v>0</v>
      </c>
      <c r="J42" s="119">
        <f>J41*Parametre!$C$54</f>
        <v>0</v>
      </c>
      <c r="K42" s="119">
        <f>K41*Parametre!$C$54</f>
        <v>0</v>
      </c>
      <c r="L42" s="119">
        <f>L41*Parametre!$C$54</f>
        <v>0</v>
      </c>
      <c r="M42" s="119">
        <f>M41*Parametre!$C$54</f>
        <v>0</v>
      </c>
      <c r="N42" s="119">
        <f>N41*Parametre!$C$54</f>
        <v>0</v>
      </c>
      <c r="O42" s="119">
        <f>O41*Parametre!$C$54</f>
        <v>0</v>
      </c>
      <c r="P42" s="119">
        <f>P41*Parametre!$C$54</f>
        <v>0</v>
      </c>
      <c r="Q42" s="119">
        <f>Q41*Parametre!$C$54</f>
        <v>0</v>
      </c>
      <c r="R42" s="119">
        <f>R41*Parametre!$C$54</f>
        <v>0</v>
      </c>
      <c r="S42" s="119">
        <f>S41*Parametre!$C$54</f>
        <v>0</v>
      </c>
      <c r="T42" s="119">
        <f>T41*Parametre!$C$54</f>
        <v>0</v>
      </c>
      <c r="U42" s="119">
        <f>U41*Parametre!$C$54</f>
        <v>0</v>
      </c>
      <c r="V42" s="119">
        <f>V41*Parametre!$C$54</f>
        <v>0</v>
      </c>
      <c r="W42" s="119">
        <f>W41*Parametre!$C$54</f>
        <v>0</v>
      </c>
      <c r="X42" s="119">
        <f>X41*Parametre!$C$54</f>
        <v>0</v>
      </c>
      <c r="Y42" s="119">
        <f>Y41*Parametre!$C$54</f>
        <v>0</v>
      </c>
      <c r="Z42" s="119">
        <f>Z41*Parametre!$C$54</f>
        <v>0</v>
      </c>
      <c r="AA42" s="119">
        <f>AA41*Parametre!$C$54</f>
        <v>0</v>
      </c>
      <c r="AB42" s="119">
        <f>AB41*Parametre!$C$54</f>
        <v>0</v>
      </c>
      <c r="AC42" s="119">
        <f>AC41*Parametre!$C$54</f>
        <v>0</v>
      </c>
      <c r="AD42" s="119">
        <f>AD41*Parametre!$C$54</f>
        <v>0</v>
      </c>
      <c r="AE42" s="119">
        <f>AE41*Parametre!$C$54</f>
        <v>0</v>
      </c>
      <c r="AF42" s="119">
        <f>AF41*Parametre!$C$54</f>
        <v>0</v>
      </c>
      <c r="AG42" s="119">
        <f>AG41*Parametre!$C$54</f>
        <v>0</v>
      </c>
      <c r="AH42" s="119">
        <f>AH41*Parametre!$C$54</f>
        <v>0</v>
      </c>
      <c r="AI42" s="119">
        <f>AI41*Parametre!$C$54</f>
        <v>0</v>
      </c>
      <c r="AJ42" s="119">
        <f>AJ41*Parametre!$C$54</f>
        <v>0</v>
      </c>
      <c r="AK42" s="119">
        <f>AK41*Parametre!$C$54</f>
        <v>0</v>
      </c>
      <c r="AL42" s="119">
        <f>AL41*Parametre!$C$54</f>
        <v>0</v>
      </c>
    </row>
    <row r="43" spans="2:38" x14ac:dyDescent="0.2">
      <c r="B43" s="3" t="s">
        <v>102</v>
      </c>
      <c r="C43" s="117">
        <f t="shared" si="80"/>
        <v>0</v>
      </c>
      <c r="D43" s="117">
        <f>D41*Parametre!$D$54</f>
        <v>0</v>
      </c>
      <c r="E43" s="117">
        <f>E41*Parametre!$D$54</f>
        <v>0</v>
      </c>
      <c r="F43" s="117">
        <f>F41*Parametre!$D$54</f>
        <v>0</v>
      </c>
      <c r="G43" s="117">
        <f>G41*Parametre!$D$54</f>
        <v>0</v>
      </c>
      <c r="H43" s="117">
        <f>H41*Parametre!$D$54</f>
        <v>0</v>
      </c>
      <c r="I43" s="117">
        <f>I41*Parametre!$D$54</f>
        <v>0</v>
      </c>
      <c r="J43" s="117">
        <f>J41*Parametre!$D$54</f>
        <v>0</v>
      </c>
      <c r="K43" s="117">
        <f>K41*Parametre!$D$54</f>
        <v>0</v>
      </c>
      <c r="L43" s="117">
        <f>L41*Parametre!$D$54</f>
        <v>0</v>
      </c>
      <c r="M43" s="117">
        <f>M41*Parametre!$D$54</f>
        <v>0</v>
      </c>
      <c r="N43" s="117">
        <f>N41*Parametre!$D$54</f>
        <v>0</v>
      </c>
      <c r="O43" s="117">
        <f>O41*Parametre!$D$54</f>
        <v>0</v>
      </c>
      <c r="P43" s="117">
        <f>P41*Parametre!$D$54</f>
        <v>0</v>
      </c>
      <c r="Q43" s="117">
        <f>Q41*Parametre!$D$54</f>
        <v>0</v>
      </c>
      <c r="R43" s="117">
        <f>R41*Parametre!$D$54</f>
        <v>0</v>
      </c>
      <c r="S43" s="117">
        <f>S41*Parametre!$D$54</f>
        <v>0</v>
      </c>
      <c r="T43" s="117">
        <f>T41*Parametre!$D$54</f>
        <v>0</v>
      </c>
      <c r="U43" s="117">
        <f>U41*Parametre!$D$54</f>
        <v>0</v>
      </c>
      <c r="V43" s="117">
        <f>V41*Parametre!$D$54</f>
        <v>0</v>
      </c>
      <c r="W43" s="117">
        <f>W41*Parametre!$D$54</f>
        <v>0</v>
      </c>
      <c r="X43" s="117">
        <f>X41*Parametre!$D$54</f>
        <v>0</v>
      </c>
      <c r="Y43" s="117">
        <f>Y41*Parametre!$D$54</f>
        <v>0</v>
      </c>
      <c r="Z43" s="117">
        <f>Z41*Parametre!$D$54</f>
        <v>0</v>
      </c>
      <c r="AA43" s="117">
        <f>AA41*Parametre!$D$54</f>
        <v>0</v>
      </c>
      <c r="AB43" s="117">
        <f>AB41*Parametre!$D$54</f>
        <v>0</v>
      </c>
      <c r="AC43" s="117">
        <f>AC41*Parametre!$D$54</f>
        <v>0</v>
      </c>
      <c r="AD43" s="117">
        <f>AD41*Parametre!$D$54</f>
        <v>0</v>
      </c>
      <c r="AE43" s="117">
        <f>AE41*Parametre!$D$54</f>
        <v>0</v>
      </c>
      <c r="AF43" s="117">
        <f>AF41*Parametre!$D$54</f>
        <v>0</v>
      </c>
      <c r="AG43" s="117">
        <f>AG41*Parametre!$D$54</f>
        <v>0</v>
      </c>
      <c r="AH43" s="117">
        <f>AH41*Parametre!$D$54</f>
        <v>0</v>
      </c>
      <c r="AI43" s="117">
        <f>AI41*Parametre!$D$54</f>
        <v>0</v>
      </c>
      <c r="AJ43" s="117">
        <f>AJ41*Parametre!$D$54</f>
        <v>0</v>
      </c>
      <c r="AK43" s="117">
        <f>AK41*Parametre!$D$54</f>
        <v>0</v>
      </c>
      <c r="AL43" s="117">
        <f>AL41*Parametre!$D$54</f>
        <v>0</v>
      </c>
    </row>
    <row r="44" spans="2:38" x14ac:dyDescent="0.2">
      <c r="B44" s="3" t="s">
        <v>103</v>
      </c>
      <c r="C44" s="117">
        <f t="shared" si="80"/>
        <v>0</v>
      </c>
      <c r="D44" s="117">
        <f>D41*Parametre!$E$54</f>
        <v>0</v>
      </c>
      <c r="E44" s="117">
        <f>E41*Parametre!$E$54</f>
        <v>0</v>
      </c>
      <c r="F44" s="117">
        <f>F41*Parametre!$E$54</f>
        <v>0</v>
      </c>
      <c r="G44" s="117">
        <f>G41*Parametre!$E$54</f>
        <v>0</v>
      </c>
      <c r="H44" s="117">
        <f>H41*Parametre!$E$54</f>
        <v>0</v>
      </c>
      <c r="I44" s="117">
        <f>I41*Parametre!$E$54</f>
        <v>0</v>
      </c>
      <c r="J44" s="117">
        <f>J41*Parametre!$E$54</f>
        <v>0</v>
      </c>
      <c r="K44" s="117">
        <f>K41*Parametre!$E$54</f>
        <v>0</v>
      </c>
      <c r="L44" s="117">
        <f>L41*Parametre!$E$54</f>
        <v>0</v>
      </c>
      <c r="M44" s="117">
        <f>M41*Parametre!$E$54</f>
        <v>0</v>
      </c>
      <c r="N44" s="117">
        <f>N41*Parametre!$E$54</f>
        <v>0</v>
      </c>
      <c r="O44" s="117">
        <f>O41*Parametre!$E$54</f>
        <v>0</v>
      </c>
      <c r="P44" s="117">
        <f>P41*Parametre!$E$54</f>
        <v>0</v>
      </c>
      <c r="Q44" s="117">
        <f>Q41*Parametre!$E$54</f>
        <v>0</v>
      </c>
      <c r="R44" s="117">
        <f>R41*Parametre!$E$54</f>
        <v>0</v>
      </c>
      <c r="S44" s="117">
        <f>S41*Parametre!$E$54</f>
        <v>0</v>
      </c>
      <c r="T44" s="117">
        <f>T41*Parametre!$E$54</f>
        <v>0</v>
      </c>
      <c r="U44" s="117">
        <f>U41*Parametre!$E$54</f>
        <v>0</v>
      </c>
      <c r="V44" s="117">
        <f>V41*Parametre!$E$54</f>
        <v>0</v>
      </c>
      <c r="W44" s="117">
        <f>W41*Parametre!$E$54</f>
        <v>0</v>
      </c>
      <c r="X44" s="117">
        <f>X41*Parametre!$E$54</f>
        <v>0</v>
      </c>
      <c r="Y44" s="117">
        <f>Y41*Parametre!$E$54</f>
        <v>0</v>
      </c>
      <c r="Z44" s="117">
        <f>Z41*Parametre!$E$54</f>
        <v>0</v>
      </c>
      <c r="AA44" s="117">
        <f>AA41*Parametre!$E$54</f>
        <v>0</v>
      </c>
      <c r="AB44" s="117">
        <f>AB41*Parametre!$E$54</f>
        <v>0</v>
      </c>
      <c r="AC44" s="117">
        <f>AC41*Parametre!$E$54</f>
        <v>0</v>
      </c>
      <c r="AD44" s="117">
        <f>AD41*Parametre!$E$54</f>
        <v>0</v>
      </c>
      <c r="AE44" s="117">
        <f>AE41*Parametre!$E$54</f>
        <v>0</v>
      </c>
      <c r="AF44" s="117">
        <f>AF41*Parametre!$E$54</f>
        <v>0</v>
      </c>
      <c r="AG44" s="117">
        <f>AG41*Parametre!$E$54</f>
        <v>0</v>
      </c>
      <c r="AH44" s="117">
        <f>AH41*Parametre!$E$54</f>
        <v>0</v>
      </c>
      <c r="AI44" s="117">
        <f>AI41*Parametre!$E$54</f>
        <v>0</v>
      </c>
      <c r="AJ44" s="117">
        <f>AJ41*Parametre!$E$54</f>
        <v>0</v>
      </c>
      <c r="AK44" s="117">
        <f>AK41*Parametre!$E$54</f>
        <v>0</v>
      </c>
      <c r="AL44" s="117">
        <f>AL41*Parametre!$E$54</f>
        <v>0</v>
      </c>
    </row>
    <row r="46" spans="2:38" x14ac:dyDescent="0.2">
      <c r="B46" s="15" t="s">
        <v>195</v>
      </c>
    </row>
    <row r="47" spans="2:38" x14ac:dyDescent="0.2">
      <c r="B47" s="8" t="s">
        <v>146</v>
      </c>
      <c r="C47" s="117">
        <f t="shared" ref="C47:C50" si="83">SUM(D47:AQ47)</f>
        <v>0</v>
      </c>
      <c r="D47" s="117">
        <f>D42*Parametre!C92</f>
        <v>0</v>
      </c>
      <c r="E47" s="117">
        <f>E42*Parametre!D92</f>
        <v>0</v>
      </c>
      <c r="F47" s="117">
        <f>F42*Parametre!E92</f>
        <v>0</v>
      </c>
      <c r="G47" s="117">
        <f>G42*Parametre!F92</f>
        <v>0</v>
      </c>
      <c r="H47" s="117">
        <f>H42*Parametre!G92</f>
        <v>0</v>
      </c>
      <c r="I47" s="117">
        <f>I42*Parametre!H92</f>
        <v>0</v>
      </c>
      <c r="J47" s="117">
        <f>J42*Parametre!I92</f>
        <v>0</v>
      </c>
      <c r="K47" s="117">
        <f>K42*Parametre!J92</f>
        <v>0</v>
      </c>
      <c r="L47" s="117">
        <f>L42*Parametre!K92</f>
        <v>0</v>
      </c>
      <c r="M47" s="117">
        <f>M42*Parametre!L92</f>
        <v>0</v>
      </c>
      <c r="N47" s="117">
        <f>N42*Parametre!M92</f>
        <v>0</v>
      </c>
      <c r="O47" s="117">
        <f>O42*Parametre!N92</f>
        <v>0</v>
      </c>
      <c r="P47" s="117">
        <f>P42*Parametre!O92</f>
        <v>0</v>
      </c>
      <c r="Q47" s="117">
        <f>Q42*Parametre!P92</f>
        <v>0</v>
      </c>
      <c r="R47" s="117">
        <f>R42*Parametre!Q92</f>
        <v>0</v>
      </c>
      <c r="S47" s="117">
        <f>S42*Parametre!R92</f>
        <v>0</v>
      </c>
      <c r="T47" s="117">
        <f>T42*Parametre!S92</f>
        <v>0</v>
      </c>
      <c r="U47" s="117">
        <f>U42*Parametre!T92</f>
        <v>0</v>
      </c>
      <c r="V47" s="117">
        <f>V42*Parametre!U92</f>
        <v>0</v>
      </c>
      <c r="W47" s="117">
        <f>W42*Parametre!V92</f>
        <v>0</v>
      </c>
      <c r="X47" s="117">
        <f>X42*Parametre!W92</f>
        <v>0</v>
      </c>
      <c r="Y47" s="117">
        <f>Y42*Parametre!X92</f>
        <v>0</v>
      </c>
      <c r="Z47" s="117">
        <f>Z42*Parametre!Y92</f>
        <v>0</v>
      </c>
      <c r="AA47" s="117">
        <f>AA42*Parametre!Z92</f>
        <v>0</v>
      </c>
      <c r="AB47" s="117">
        <f>AB42*Parametre!AA92</f>
        <v>0</v>
      </c>
      <c r="AC47" s="117">
        <f>AC42*Parametre!AB92</f>
        <v>0</v>
      </c>
      <c r="AD47" s="117">
        <f>AD42*Parametre!AC92</f>
        <v>0</v>
      </c>
      <c r="AE47" s="117">
        <f>AE42*Parametre!AD92</f>
        <v>0</v>
      </c>
      <c r="AF47" s="117">
        <f>AF42*Parametre!AE92</f>
        <v>0</v>
      </c>
      <c r="AG47" s="117">
        <f>AG42*Parametre!AF92</f>
        <v>0</v>
      </c>
      <c r="AH47" s="117">
        <f>AH42*Parametre!AG92</f>
        <v>0</v>
      </c>
      <c r="AI47" s="117">
        <f>AI42*Parametre!AH92</f>
        <v>0</v>
      </c>
      <c r="AJ47" s="117">
        <f>AJ42*Parametre!AI92</f>
        <v>0</v>
      </c>
      <c r="AK47" s="117">
        <f>AK42*Parametre!AJ92</f>
        <v>0</v>
      </c>
      <c r="AL47" s="117">
        <f>AL42*Parametre!AK92</f>
        <v>0</v>
      </c>
    </row>
    <row r="48" spans="2:38" x14ac:dyDescent="0.2">
      <c r="B48" s="8" t="s">
        <v>102</v>
      </c>
      <c r="C48" s="117">
        <f t="shared" si="83"/>
        <v>0</v>
      </c>
      <c r="D48" s="117">
        <f>D43*Parametre!C93</f>
        <v>0</v>
      </c>
      <c r="E48" s="117">
        <f>E43*Parametre!D93</f>
        <v>0</v>
      </c>
      <c r="F48" s="117">
        <f>F43*Parametre!E93</f>
        <v>0</v>
      </c>
      <c r="G48" s="117">
        <f>G43*Parametre!F93</f>
        <v>0</v>
      </c>
      <c r="H48" s="117">
        <f>H43*Parametre!G93</f>
        <v>0</v>
      </c>
      <c r="I48" s="117">
        <f>I43*Parametre!H93</f>
        <v>0</v>
      </c>
      <c r="J48" s="117">
        <f>J43*Parametre!I93</f>
        <v>0</v>
      </c>
      <c r="K48" s="117">
        <f>K43*Parametre!J93</f>
        <v>0</v>
      </c>
      <c r="L48" s="117">
        <f>L43*Parametre!K93</f>
        <v>0</v>
      </c>
      <c r="M48" s="117">
        <f>M43*Parametre!L93</f>
        <v>0</v>
      </c>
      <c r="N48" s="117">
        <f>N43*Parametre!M93</f>
        <v>0</v>
      </c>
      <c r="O48" s="117">
        <f>O43*Parametre!N93</f>
        <v>0</v>
      </c>
      <c r="P48" s="117">
        <f>P43*Parametre!O93</f>
        <v>0</v>
      </c>
      <c r="Q48" s="117">
        <f>Q43*Parametre!P93</f>
        <v>0</v>
      </c>
      <c r="R48" s="117">
        <f>R43*Parametre!Q93</f>
        <v>0</v>
      </c>
      <c r="S48" s="117">
        <f>S43*Parametre!R93</f>
        <v>0</v>
      </c>
      <c r="T48" s="117">
        <f>T43*Parametre!S93</f>
        <v>0</v>
      </c>
      <c r="U48" s="117">
        <f>U43*Parametre!T93</f>
        <v>0</v>
      </c>
      <c r="V48" s="117">
        <f>V43*Parametre!U93</f>
        <v>0</v>
      </c>
      <c r="W48" s="117">
        <f>W43*Parametre!V93</f>
        <v>0</v>
      </c>
      <c r="X48" s="117">
        <f>X43*Parametre!W93</f>
        <v>0</v>
      </c>
      <c r="Y48" s="117">
        <f>Y43*Parametre!X93</f>
        <v>0</v>
      </c>
      <c r="Z48" s="117">
        <f>Z43*Parametre!Y93</f>
        <v>0</v>
      </c>
      <c r="AA48" s="117">
        <f>AA43*Parametre!Z93</f>
        <v>0</v>
      </c>
      <c r="AB48" s="117">
        <f>AB43*Parametre!AA93</f>
        <v>0</v>
      </c>
      <c r="AC48" s="117">
        <f>AC43*Parametre!AB93</f>
        <v>0</v>
      </c>
      <c r="AD48" s="117">
        <f>AD43*Parametre!AC93</f>
        <v>0</v>
      </c>
      <c r="AE48" s="117">
        <f>AE43*Parametre!AD93</f>
        <v>0</v>
      </c>
      <c r="AF48" s="117">
        <f>AF43*Parametre!AE93</f>
        <v>0</v>
      </c>
      <c r="AG48" s="117">
        <f>AG43*Parametre!AF93</f>
        <v>0</v>
      </c>
      <c r="AH48" s="117">
        <f>AH43*Parametre!AG93</f>
        <v>0</v>
      </c>
      <c r="AI48" s="117">
        <f>AI43*Parametre!AH93</f>
        <v>0</v>
      </c>
      <c r="AJ48" s="117">
        <f>AJ43*Parametre!AI93</f>
        <v>0</v>
      </c>
      <c r="AK48" s="117">
        <f>AK43*Parametre!AJ93</f>
        <v>0</v>
      </c>
      <c r="AL48" s="117">
        <f>AL43*Parametre!AK93</f>
        <v>0</v>
      </c>
    </row>
    <row r="49" spans="2:38" x14ac:dyDescent="0.2">
      <c r="B49" s="8" t="s">
        <v>103</v>
      </c>
      <c r="C49" s="120">
        <f t="shared" si="83"/>
        <v>0</v>
      </c>
      <c r="D49" s="117">
        <f>D44*Parametre!C94</f>
        <v>0</v>
      </c>
      <c r="E49" s="117">
        <f>E44*Parametre!D94</f>
        <v>0</v>
      </c>
      <c r="F49" s="117">
        <f>F44*Parametre!E94</f>
        <v>0</v>
      </c>
      <c r="G49" s="117">
        <f>G44*Parametre!F94</f>
        <v>0</v>
      </c>
      <c r="H49" s="117">
        <f>H44*Parametre!G94</f>
        <v>0</v>
      </c>
      <c r="I49" s="117">
        <f>I44*Parametre!H94</f>
        <v>0</v>
      </c>
      <c r="J49" s="117">
        <f>J44*Parametre!I94</f>
        <v>0</v>
      </c>
      <c r="K49" s="117">
        <f>K44*Parametre!J94</f>
        <v>0</v>
      </c>
      <c r="L49" s="117">
        <f>L44*Parametre!K94</f>
        <v>0</v>
      </c>
      <c r="M49" s="117">
        <f>M44*Parametre!L94</f>
        <v>0</v>
      </c>
      <c r="N49" s="117">
        <f>N44*Parametre!M94</f>
        <v>0</v>
      </c>
      <c r="O49" s="117">
        <f>O44*Parametre!N94</f>
        <v>0</v>
      </c>
      <c r="P49" s="117">
        <f>P44*Parametre!O94</f>
        <v>0</v>
      </c>
      <c r="Q49" s="117">
        <f>Q44*Parametre!P94</f>
        <v>0</v>
      </c>
      <c r="R49" s="117">
        <f>R44*Parametre!Q94</f>
        <v>0</v>
      </c>
      <c r="S49" s="117">
        <f>S44*Parametre!R94</f>
        <v>0</v>
      </c>
      <c r="T49" s="117">
        <f>T44*Parametre!S94</f>
        <v>0</v>
      </c>
      <c r="U49" s="117">
        <f>U44*Parametre!T94</f>
        <v>0</v>
      </c>
      <c r="V49" s="117">
        <f>V44*Parametre!U94</f>
        <v>0</v>
      </c>
      <c r="W49" s="117">
        <f>W44*Parametre!V94</f>
        <v>0</v>
      </c>
      <c r="X49" s="117">
        <f>X44*Parametre!W94</f>
        <v>0</v>
      </c>
      <c r="Y49" s="117">
        <f>Y44*Parametre!X94</f>
        <v>0</v>
      </c>
      <c r="Z49" s="117">
        <f>Z44*Parametre!Y94</f>
        <v>0</v>
      </c>
      <c r="AA49" s="117">
        <f>AA44*Parametre!Z94</f>
        <v>0</v>
      </c>
      <c r="AB49" s="117">
        <f>AB44*Parametre!AA94</f>
        <v>0</v>
      </c>
      <c r="AC49" s="117">
        <f>AC44*Parametre!AB94</f>
        <v>0</v>
      </c>
      <c r="AD49" s="117">
        <f>AD44*Parametre!AC94</f>
        <v>0</v>
      </c>
      <c r="AE49" s="117">
        <f>AE44*Parametre!AD94</f>
        <v>0</v>
      </c>
      <c r="AF49" s="117">
        <f>AF44*Parametre!AE94</f>
        <v>0</v>
      </c>
      <c r="AG49" s="117">
        <f>AG44*Parametre!AF94</f>
        <v>0</v>
      </c>
      <c r="AH49" s="117">
        <f>AH44*Parametre!AG94</f>
        <v>0</v>
      </c>
      <c r="AI49" s="117">
        <f>AI44*Parametre!AH94</f>
        <v>0</v>
      </c>
      <c r="AJ49" s="117">
        <f>AJ44*Parametre!AI94</f>
        <v>0</v>
      </c>
      <c r="AK49" s="117">
        <f>AK44*Parametre!AJ94</f>
        <v>0</v>
      </c>
      <c r="AL49" s="117">
        <f>AL44*Parametre!AK94</f>
        <v>0</v>
      </c>
    </row>
    <row r="50" spans="2:38" x14ac:dyDescent="0.2">
      <c r="B50" s="228" t="s">
        <v>276</v>
      </c>
      <c r="C50" s="229">
        <f t="shared" si="83"/>
        <v>0</v>
      </c>
      <c r="D50" s="230">
        <f>SUM(D47:D49)</f>
        <v>0</v>
      </c>
      <c r="E50" s="229">
        <f t="shared" ref="E50:AG50" si="84">SUM(E47:E49)</f>
        <v>0</v>
      </c>
      <c r="F50" s="229">
        <f t="shared" si="84"/>
        <v>0</v>
      </c>
      <c r="G50" s="229">
        <f t="shared" si="84"/>
        <v>0</v>
      </c>
      <c r="H50" s="229">
        <f t="shared" si="84"/>
        <v>0</v>
      </c>
      <c r="I50" s="229">
        <f t="shared" si="84"/>
        <v>0</v>
      </c>
      <c r="J50" s="229">
        <f t="shared" si="84"/>
        <v>0</v>
      </c>
      <c r="K50" s="229">
        <f t="shared" si="84"/>
        <v>0</v>
      </c>
      <c r="L50" s="229">
        <f t="shared" si="84"/>
        <v>0</v>
      </c>
      <c r="M50" s="229">
        <f t="shared" si="84"/>
        <v>0</v>
      </c>
      <c r="N50" s="229">
        <f t="shared" si="84"/>
        <v>0</v>
      </c>
      <c r="O50" s="229">
        <f t="shared" si="84"/>
        <v>0</v>
      </c>
      <c r="P50" s="229">
        <f t="shared" si="84"/>
        <v>0</v>
      </c>
      <c r="Q50" s="229">
        <f t="shared" si="84"/>
        <v>0</v>
      </c>
      <c r="R50" s="229">
        <f t="shared" si="84"/>
        <v>0</v>
      </c>
      <c r="S50" s="229">
        <f t="shared" si="84"/>
        <v>0</v>
      </c>
      <c r="T50" s="229">
        <f t="shared" si="84"/>
        <v>0</v>
      </c>
      <c r="U50" s="229">
        <f t="shared" si="84"/>
        <v>0</v>
      </c>
      <c r="V50" s="229">
        <f t="shared" si="84"/>
        <v>0</v>
      </c>
      <c r="W50" s="229">
        <f t="shared" si="84"/>
        <v>0</v>
      </c>
      <c r="X50" s="229">
        <f t="shared" si="84"/>
        <v>0</v>
      </c>
      <c r="Y50" s="229">
        <f t="shared" si="84"/>
        <v>0</v>
      </c>
      <c r="Z50" s="229">
        <f t="shared" si="84"/>
        <v>0</v>
      </c>
      <c r="AA50" s="229">
        <f t="shared" si="84"/>
        <v>0</v>
      </c>
      <c r="AB50" s="229">
        <f t="shared" si="84"/>
        <v>0</v>
      </c>
      <c r="AC50" s="229">
        <f t="shared" si="84"/>
        <v>0</v>
      </c>
      <c r="AD50" s="229">
        <f t="shared" si="84"/>
        <v>0</v>
      </c>
      <c r="AE50" s="229">
        <f t="shared" si="84"/>
        <v>0</v>
      </c>
      <c r="AF50" s="229">
        <f t="shared" si="84"/>
        <v>0</v>
      </c>
      <c r="AG50" s="229">
        <f t="shared" si="84"/>
        <v>0</v>
      </c>
      <c r="AH50" s="229">
        <f t="shared" ref="AH50:AL50" si="85">SUM(AH47:AH49)</f>
        <v>0</v>
      </c>
      <c r="AI50" s="229">
        <f t="shared" si="85"/>
        <v>0</v>
      </c>
      <c r="AJ50" s="229">
        <f t="shared" si="85"/>
        <v>0</v>
      </c>
      <c r="AK50" s="229">
        <f t="shared" si="85"/>
        <v>0</v>
      </c>
      <c r="AL50" s="229">
        <f t="shared" si="85"/>
        <v>0</v>
      </c>
    </row>
    <row r="53" spans="2:38" x14ac:dyDescent="0.2">
      <c r="B53" s="743" t="s">
        <v>674</v>
      </c>
      <c r="C53" s="745" t="s">
        <v>9</v>
      </c>
      <c r="D53" s="259"/>
      <c r="E53" s="259"/>
      <c r="F53" s="259"/>
      <c r="G53" s="259"/>
      <c r="H53" s="259"/>
      <c r="I53" s="259"/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W53" s="259"/>
      <c r="X53" s="259"/>
      <c r="Y53" s="259"/>
      <c r="Z53" s="259"/>
      <c r="AA53" s="259"/>
      <c r="AB53" s="259"/>
      <c r="AC53" s="259"/>
      <c r="AD53" s="259"/>
      <c r="AE53" s="259"/>
      <c r="AF53" s="259"/>
      <c r="AG53" s="259"/>
      <c r="AH53" s="259"/>
    </row>
    <row r="54" spans="2:38" x14ac:dyDescent="0.2">
      <c r="B54" s="744"/>
      <c r="C54" s="746"/>
      <c r="D54" s="576">
        <f>D38</f>
        <v>2025</v>
      </c>
      <c r="E54" s="576">
        <f>E38</f>
        <v>2026</v>
      </c>
      <c r="F54" s="576">
        <f t="shared" ref="F54:AI54" si="86">F38</f>
        <v>2027</v>
      </c>
      <c r="G54" s="576">
        <f t="shared" si="86"/>
        <v>2028</v>
      </c>
      <c r="H54" s="576">
        <f t="shared" si="86"/>
        <v>2029</v>
      </c>
      <c r="I54" s="576">
        <f t="shared" si="86"/>
        <v>2030</v>
      </c>
      <c r="J54" s="576">
        <f t="shared" si="86"/>
        <v>2031</v>
      </c>
      <c r="K54" s="576">
        <f t="shared" si="86"/>
        <v>2032</v>
      </c>
      <c r="L54" s="576">
        <f t="shared" si="86"/>
        <v>2033</v>
      </c>
      <c r="M54" s="576">
        <f t="shared" si="86"/>
        <v>2034</v>
      </c>
      <c r="N54" s="576">
        <f t="shared" si="86"/>
        <v>2035</v>
      </c>
      <c r="O54" s="576">
        <f t="shared" si="86"/>
        <v>2036</v>
      </c>
      <c r="P54" s="576">
        <f t="shared" si="86"/>
        <v>2037</v>
      </c>
      <c r="Q54" s="576">
        <f t="shared" si="86"/>
        <v>2038</v>
      </c>
      <c r="R54" s="576">
        <f t="shared" si="86"/>
        <v>2039</v>
      </c>
      <c r="S54" s="576">
        <f t="shared" si="86"/>
        <v>2040</v>
      </c>
      <c r="T54" s="576">
        <f t="shared" si="86"/>
        <v>2041</v>
      </c>
      <c r="U54" s="576">
        <f t="shared" si="86"/>
        <v>2042</v>
      </c>
      <c r="V54" s="576">
        <f t="shared" si="86"/>
        <v>2043</v>
      </c>
      <c r="W54" s="576">
        <f t="shared" si="86"/>
        <v>2044</v>
      </c>
      <c r="X54" s="576">
        <f t="shared" si="86"/>
        <v>2045</v>
      </c>
      <c r="Y54" s="576">
        <f t="shared" si="86"/>
        <v>2046</v>
      </c>
      <c r="Z54" s="576">
        <f t="shared" si="86"/>
        <v>2047</v>
      </c>
      <c r="AA54" s="576">
        <f t="shared" si="86"/>
        <v>2048</v>
      </c>
      <c r="AB54" s="576">
        <f t="shared" si="86"/>
        <v>2049</v>
      </c>
      <c r="AC54" s="576">
        <f t="shared" si="86"/>
        <v>2050</v>
      </c>
      <c r="AD54" s="576">
        <f t="shared" si="86"/>
        <v>2051</v>
      </c>
      <c r="AE54" s="576">
        <f t="shared" si="86"/>
        <v>2052</v>
      </c>
      <c r="AF54" s="576">
        <f t="shared" si="86"/>
        <v>2053</v>
      </c>
      <c r="AG54" s="576">
        <f t="shared" si="86"/>
        <v>2054</v>
      </c>
      <c r="AH54" s="576">
        <f t="shared" si="86"/>
        <v>2055</v>
      </c>
      <c r="AI54" s="576">
        <f t="shared" si="86"/>
        <v>2056</v>
      </c>
      <c r="AJ54" s="576">
        <f t="shared" ref="AJ54:AL54" si="87">AJ38</f>
        <v>2057</v>
      </c>
      <c r="AK54" s="576">
        <f t="shared" si="87"/>
        <v>2058</v>
      </c>
      <c r="AL54" s="576">
        <f t="shared" si="87"/>
        <v>2059</v>
      </c>
    </row>
    <row r="55" spans="2:38" x14ac:dyDescent="0.2">
      <c r="B55" s="577" t="s">
        <v>670</v>
      </c>
      <c r="C55" s="578"/>
      <c r="D55" s="579">
        <f t="shared" ref="D55:E55" si="88">D79+D99+D119+D139</f>
        <v>0</v>
      </c>
      <c r="E55" s="579">
        <f t="shared" si="88"/>
        <v>0</v>
      </c>
      <c r="F55" s="579">
        <f>F79+F99+F119+F139</f>
        <v>0</v>
      </c>
      <c r="G55" s="579">
        <f>G79+G99+G119+G139</f>
        <v>0</v>
      </c>
      <c r="H55" s="579">
        <f t="shared" ref="H55:AI58" si="89">H79+H99+H119+H139</f>
        <v>0</v>
      </c>
      <c r="I55" s="579">
        <f t="shared" si="89"/>
        <v>0</v>
      </c>
      <c r="J55" s="579">
        <f t="shared" si="89"/>
        <v>0</v>
      </c>
      <c r="K55" s="579">
        <f t="shared" si="89"/>
        <v>0</v>
      </c>
      <c r="L55" s="579">
        <f t="shared" si="89"/>
        <v>0</v>
      </c>
      <c r="M55" s="579">
        <f t="shared" si="89"/>
        <v>0</v>
      </c>
      <c r="N55" s="579">
        <f t="shared" si="89"/>
        <v>0</v>
      </c>
      <c r="O55" s="579">
        <f t="shared" si="89"/>
        <v>0</v>
      </c>
      <c r="P55" s="579">
        <f t="shared" si="89"/>
        <v>0</v>
      </c>
      <c r="Q55" s="579">
        <f t="shared" si="89"/>
        <v>0</v>
      </c>
      <c r="R55" s="579">
        <f t="shared" si="89"/>
        <v>0</v>
      </c>
      <c r="S55" s="579">
        <f t="shared" si="89"/>
        <v>0</v>
      </c>
      <c r="T55" s="579">
        <f t="shared" si="89"/>
        <v>0</v>
      </c>
      <c r="U55" s="579">
        <f t="shared" si="89"/>
        <v>0</v>
      </c>
      <c r="V55" s="579">
        <f t="shared" si="89"/>
        <v>0</v>
      </c>
      <c r="W55" s="579">
        <f t="shared" si="89"/>
        <v>0</v>
      </c>
      <c r="X55" s="579">
        <f t="shared" si="89"/>
        <v>0</v>
      </c>
      <c r="Y55" s="579">
        <f t="shared" si="89"/>
        <v>0</v>
      </c>
      <c r="Z55" s="579">
        <f t="shared" si="89"/>
        <v>0</v>
      </c>
      <c r="AA55" s="579">
        <f t="shared" si="89"/>
        <v>0</v>
      </c>
      <c r="AB55" s="579">
        <f t="shared" si="89"/>
        <v>0</v>
      </c>
      <c r="AC55" s="579">
        <f t="shared" si="89"/>
        <v>0</v>
      </c>
      <c r="AD55" s="579">
        <f t="shared" si="89"/>
        <v>0</v>
      </c>
      <c r="AE55" s="579">
        <f t="shared" si="89"/>
        <v>0</v>
      </c>
      <c r="AF55" s="579">
        <f t="shared" si="89"/>
        <v>0</v>
      </c>
      <c r="AG55" s="579">
        <f t="shared" si="89"/>
        <v>0</v>
      </c>
      <c r="AH55" s="579">
        <f t="shared" si="89"/>
        <v>0</v>
      </c>
      <c r="AI55" s="579">
        <f t="shared" si="89"/>
        <v>0</v>
      </c>
      <c r="AJ55" s="579">
        <f t="shared" ref="AJ55:AL55" si="90">AJ79+AJ99+AJ119+AJ139</f>
        <v>0</v>
      </c>
      <c r="AK55" s="579">
        <f t="shared" si="90"/>
        <v>0</v>
      </c>
      <c r="AL55" s="579">
        <f t="shared" si="90"/>
        <v>0</v>
      </c>
    </row>
    <row r="56" spans="2:38" x14ac:dyDescent="0.2">
      <c r="B56" s="16" t="s">
        <v>671</v>
      </c>
      <c r="C56" s="580"/>
      <c r="D56" s="581"/>
      <c r="E56" s="581">
        <f t="shared" ref="E56" si="91">E80+E100+E120+E140</f>
        <v>0</v>
      </c>
      <c r="F56" s="581">
        <f>F80+F100+F120+F140</f>
        <v>0</v>
      </c>
      <c r="G56" s="581">
        <f>G80+G100+G120+G140</f>
        <v>0</v>
      </c>
      <c r="H56" s="581">
        <f t="shared" si="89"/>
        <v>0</v>
      </c>
      <c r="I56" s="581">
        <f t="shared" si="89"/>
        <v>0</v>
      </c>
      <c r="J56" s="581">
        <f t="shared" si="89"/>
        <v>0</v>
      </c>
      <c r="K56" s="581">
        <f t="shared" si="89"/>
        <v>0</v>
      </c>
      <c r="L56" s="581">
        <f t="shared" si="89"/>
        <v>0</v>
      </c>
      <c r="M56" s="581">
        <f t="shared" si="89"/>
        <v>0</v>
      </c>
      <c r="N56" s="581">
        <f t="shared" si="89"/>
        <v>0</v>
      </c>
      <c r="O56" s="581">
        <f t="shared" si="89"/>
        <v>0</v>
      </c>
      <c r="P56" s="581">
        <f t="shared" si="89"/>
        <v>0</v>
      </c>
      <c r="Q56" s="581">
        <f t="shared" si="89"/>
        <v>0</v>
      </c>
      <c r="R56" s="581">
        <f t="shared" si="89"/>
        <v>0</v>
      </c>
      <c r="S56" s="581">
        <f t="shared" si="89"/>
        <v>0</v>
      </c>
      <c r="T56" s="581">
        <f t="shared" si="89"/>
        <v>0</v>
      </c>
      <c r="U56" s="581">
        <f t="shared" si="89"/>
        <v>0</v>
      </c>
      <c r="V56" s="581">
        <f t="shared" si="89"/>
        <v>0</v>
      </c>
      <c r="W56" s="581">
        <f t="shared" si="89"/>
        <v>0</v>
      </c>
      <c r="X56" s="581">
        <f t="shared" si="89"/>
        <v>0</v>
      </c>
      <c r="Y56" s="581">
        <f t="shared" si="89"/>
        <v>0</v>
      </c>
      <c r="Z56" s="581">
        <f t="shared" si="89"/>
        <v>0</v>
      </c>
      <c r="AA56" s="581">
        <f t="shared" si="89"/>
        <v>0</v>
      </c>
      <c r="AB56" s="581">
        <f t="shared" si="89"/>
        <v>0</v>
      </c>
      <c r="AC56" s="581">
        <f t="shared" si="89"/>
        <v>0</v>
      </c>
      <c r="AD56" s="581">
        <f t="shared" si="89"/>
        <v>0</v>
      </c>
      <c r="AE56" s="581">
        <f t="shared" si="89"/>
        <v>0</v>
      </c>
      <c r="AF56" s="581">
        <f t="shared" si="89"/>
        <v>0</v>
      </c>
      <c r="AG56" s="581">
        <f t="shared" si="89"/>
        <v>0</v>
      </c>
      <c r="AH56" s="581">
        <f t="shared" si="89"/>
        <v>0</v>
      </c>
      <c r="AI56" s="581">
        <f t="shared" si="89"/>
        <v>0</v>
      </c>
      <c r="AJ56" s="581">
        <f t="shared" ref="AJ56:AL56" si="92">AJ80+AJ100+AJ120+AJ140</f>
        <v>0</v>
      </c>
      <c r="AK56" s="581">
        <f t="shared" si="92"/>
        <v>0</v>
      </c>
      <c r="AL56" s="581">
        <f t="shared" si="92"/>
        <v>0</v>
      </c>
    </row>
    <row r="57" spans="2:38" x14ac:dyDescent="0.2">
      <c r="B57" s="582" t="s">
        <v>672</v>
      </c>
      <c r="C57" s="3"/>
      <c r="D57" s="581">
        <f t="shared" ref="D57:E57" si="93">D81+D101+D121+D141</f>
        <v>0</v>
      </c>
      <c r="E57" s="581">
        <f t="shared" si="93"/>
        <v>0</v>
      </c>
      <c r="F57" s="581">
        <f t="shared" ref="F57:U58" si="94">F81+F101+F121+F141</f>
        <v>0</v>
      </c>
      <c r="G57" s="581">
        <f t="shared" si="94"/>
        <v>0</v>
      </c>
      <c r="H57" s="581">
        <f t="shared" si="94"/>
        <v>0</v>
      </c>
      <c r="I57" s="581">
        <f t="shared" si="94"/>
        <v>0</v>
      </c>
      <c r="J57" s="581">
        <f t="shared" si="94"/>
        <v>0</v>
      </c>
      <c r="K57" s="581">
        <f t="shared" si="94"/>
        <v>0</v>
      </c>
      <c r="L57" s="581">
        <f t="shared" si="94"/>
        <v>0</v>
      </c>
      <c r="M57" s="581">
        <f t="shared" si="94"/>
        <v>0</v>
      </c>
      <c r="N57" s="581">
        <f t="shared" si="94"/>
        <v>0</v>
      </c>
      <c r="O57" s="581">
        <f t="shared" si="94"/>
        <v>0</v>
      </c>
      <c r="P57" s="581">
        <f t="shared" si="94"/>
        <v>0</v>
      </c>
      <c r="Q57" s="581">
        <f t="shared" si="94"/>
        <v>0</v>
      </c>
      <c r="R57" s="581">
        <f t="shared" si="94"/>
        <v>0</v>
      </c>
      <c r="S57" s="581">
        <f t="shared" si="94"/>
        <v>0</v>
      </c>
      <c r="T57" s="581">
        <f t="shared" si="94"/>
        <v>0</v>
      </c>
      <c r="U57" s="581">
        <f t="shared" si="94"/>
        <v>0</v>
      </c>
      <c r="V57" s="581">
        <f t="shared" si="89"/>
        <v>0</v>
      </c>
      <c r="W57" s="581">
        <f t="shared" si="89"/>
        <v>0</v>
      </c>
      <c r="X57" s="581">
        <f t="shared" si="89"/>
        <v>0</v>
      </c>
      <c r="Y57" s="581">
        <f t="shared" si="89"/>
        <v>0</v>
      </c>
      <c r="Z57" s="581">
        <f t="shared" si="89"/>
        <v>0</v>
      </c>
      <c r="AA57" s="581">
        <f t="shared" si="89"/>
        <v>0</v>
      </c>
      <c r="AB57" s="581">
        <f t="shared" si="89"/>
        <v>0</v>
      </c>
      <c r="AC57" s="581">
        <f t="shared" si="89"/>
        <v>0</v>
      </c>
      <c r="AD57" s="581">
        <f t="shared" si="89"/>
        <v>0</v>
      </c>
      <c r="AE57" s="581">
        <f t="shared" si="89"/>
        <v>0</v>
      </c>
      <c r="AF57" s="581">
        <f t="shared" si="89"/>
        <v>0</v>
      </c>
      <c r="AG57" s="581">
        <f t="shared" si="89"/>
        <v>0</v>
      </c>
      <c r="AH57" s="581">
        <f t="shared" si="89"/>
        <v>0</v>
      </c>
      <c r="AI57" s="581">
        <f t="shared" si="89"/>
        <v>0</v>
      </c>
      <c r="AJ57" s="581">
        <f t="shared" ref="AJ57:AL57" si="95">AJ81+AJ101+AJ121+AJ141</f>
        <v>0</v>
      </c>
      <c r="AK57" s="581">
        <f t="shared" si="95"/>
        <v>0</v>
      </c>
      <c r="AL57" s="581">
        <f t="shared" si="95"/>
        <v>0</v>
      </c>
    </row>
    <row r="58" spans="2:38" x14ac:dyDescent="0.2">
      <c r="B58" s="16" t="s">
        <v>659</v>
      </c>
      <c r="C58" s="3"/>
      <c r="D58" s="581">
        <f t="shared" ref="D58:E58" si="96">D82+D102+D122+D142</f>
        <v>0</v>
      </c>
      <c r="E58" s="581">
        <f t="shared" si="96"/>
        <v>0</v>
      </c>
      <c r="F58" s="581">
        <f t="shared" si="94"/>
        <v>0</v>
      </c>
      <c r="G58" s="581">
        <f t="shared" si="94"/>
        <v>0</v>
      </c>
      <c r="H58" s="581">
        <f t="shared" si="94"/>
        <v>0</v>
      </c>
      <c r="I58" s="581">
        <f t="shared" si="94"/>
        <v>0</v>
      </c>
      <c r="J58" s="581">
        <f t="shared" si="94"/>
        <v>0</v>
      </c>
      <c r="K58" s="581">
        <f t="shared" si="94"/>
        <v>0</v>
      </c>
      <c r="L58" s="581">
        <f t="shared" si="94"/>
        <v>0</v>
      </c>
      <c r="M58" s="581">
        <f t="shared" si="94"/>
        <v>0</v>
      </c>
      <c r="N58" s="581">
        <f t="shared" si="94"/>
        <v>0</v>
      </c>
      <c r="O58" s="581">
        <f t="shared" si="94"/>
        <v>0</v>
      </c>
      <c r="P58" s="581">
        <f t="shared" si="94"/>
        <v>0</v>
      </c>
      <c r="Q58" s="581">
        <f t="shared" si="94"/>
        <v>0</v>
      </c>
      <c r="R58" s="581">
        <f t="shared" si="94"/>
        <v>0</v>
      </c>
      <c r="S58" s="581">
        <f t="shared" si="94"/>
        <v>0</v>
      </c>
      <c r="T58" s="581">
        <f t="shared" si="94"/>
        <v>0</v>
      </c>
      <c r="U58" s="581">
        <f t="shared" si="94"/>
        <v>0</v>
      </c>
      <c r="V58" s="581">
        <f t="shared" si="89"/>
        <v>0</v>
      </c>
      <c r="W58" s="581">
        <f t="shared" si="89"/>
        <v>0</v>
      </c>
      <c r="X58" s="581">
        <f t="shared" si="89"/>
        <v>0</v>
      </c>
      <c r="Y58" s="581">
        <f t="shared" si="89"/>
        <v>0</v>
      </c>
      <c r="Z58" s="581">
        <f t="shared" si="89"/>
        <v>0</v>
      </c>
      <c r="AA58" s="581">
        <f t="shared" si="89"/>
        <v>0</v>
      </c>
      <c r="AB58" s="581">
        <f t="shared" si="89"/>
        <v>0</v>
      </c>
      <c r="AC58" s="581">
        <f t="shared" si="89"/>
        <v>0</v>
      </c>
      <c r="AD58" s="581">
        <f t="shared" si="89"/>
        <v>0</v>
      </c>
      <c r="AE58" s="581">
        <f t="shared" si="89"/>
        <v>0</v>
      </c>
      <c r="AF58" s="581">
        <f t="shared" si="89"/>
        <v>0</v>
      </c>
      <c r="AG58" s="581">
        <f t="shared" si="89"/>
        <v>0</v>
      </c>
      <c r="AH58" s="581">
        <f t="shared" si="89"/>
        <v>0</v>
      </c>
      <c r="AI58" s="581">
        <f t="shared" si="89"/>
        <v>0</v>
      </c>
      <c r="AJ58" s="581">
        <f t="shared" ref="AJ58:AL58" si="97">AJ82+AJ102+AJ122+AJ142</f>
        <v>0</v>
      </c>
      <c r="AK58" s="581">
        <f t="shared" si="97"/>
        <v>0</v>
      </c>
      <c r="AL58" s="581">
        <f t="shared" si="97"/>
        <v>0</v>
      </c>
    </row>
    <row r="59" spans="2:38" x14ac:dyDescent="0.2">
      <c r="B59" s="583" t="s">
        <v>675</v>
      </c>
      <c r="C59" s="583"/>
      <c r="D59" s="579">
        <f t="shared" ref="D59:E59" si="98">SUM(D56:D58)</f>
        <v>0</v>
      </c>
      <c r="E59" s="579">
        <f t="shared" si="98"/>
        <v>0</v>
      </c>
      <c r="F59" s="579">
        <f>SUM(F56:F58)</f>
        <v>0</v>
      </c>
      <c r="G59" s="579">
        <f t="shared" ref="G59:AI59" si="99">SUM(G56:G58)</f>
        <v>0</v>
      </c>
      <c r="H59" s="579">
        <f t="shared" si="99"/>
        <v>0</v>
      </c>
      <c r="I59" s="579">
        <f t="shared" si="99"/>
        <v>0</v>
      </c>
      <c r="J59" s="579">
        <f t="shared" si="99"/>
        <v>0</v>
      </c>
      <c r="K59" s="579">
        <f t="shared" si="99"/>
        <v>0</v>
      </c>
      <c r="L59" s="579">
        <f t="shared" si="99"/>
        <v>0</v>
      </c>
      <c r="M59" s="579">
        <f t="shared" si="99"/>
        <v>0</v>
      </c>
      <c r="N59" s="579">
        <f t="shared" si="99"/>
        <v>0</v>
      </c>
      <c r="O59" s="579">
        <f t="shared" si="99"/>
        <v>0</v>
      </c>
      <c r="P59" s="579">
        <f t="shared" si="99"/>
        <v>0</v>
      </c>
      <c r="Q59" s="579">
        <f t="shared" si="99"/>
        <v>0</v>
      </c>
      <c r="R59" s="579">
        <f t="shared" si="99"/>
        <v>0</v>
      </c>
      <c r="S59" s="579">
        <f t="shared" si="99"/>
        <v>0</v>
      </c>
      <c r="T59" s="579">
        <f t="shared" si="99"/>
        <v>0</v>
      </c>
      <c r="U59" s="579">
        <f t="shared" si="99"/>
        <v>0</v>
      </c>
      <c r="V59" s="579">
        <f t="shared" si="99"/>
        <v>0</v>
      </c>
      <c r="W59" s="579">
        <f t="shared" si="99"/>
        <v>0</v>
      </c>
      <c r="X59" s="579">
        <f t="shared" si="99"/>
        <v>0</v>
      </c>
      <c r="Y59" s="579">
        <f t="shared" si="99"/>
        <v>0</v>
      </c>
      <c r="Z59" s="579">
        <f t="shared" si="99"/>
        <v>0</v>
      </c>
      <c r="AA59" s="579">
        <f t="shared" si="99"/>
        <v>0</v>
      </c>
      <c r="AB59" s="579">
        <f t="shared" si="99"/>
        <v>0</v>
      </c>
      <c r="AC59" s="579">
        <f t="shared" si="99"/>
        <v>0</v>
      </c>
      <c r="AD59" s="579">
        <f t="shared" si="99"/>
        <v>0</v>
      </c>
      <c r="AE59" s="579">
        <f t="shared" si="99"/>
        <v>0</v>
      </c>
      <c r="AF59" s="579">
        <f t="shared" si="99"/>
        <v>0</v>
      </c>
      <c r="AG59" s="579">
        <f t="shared" si="99"/>
        <v>0</v>
      </c>
      <c r="AH59" s="579">
        <f t="shared" si="99"/>
        <v>0</v>
      </c>
      <c r="AI59" s="579">
        <f t="shared" si="99"/>
        <v>0</v>
      </c>
      <c r="AJ59" s="579">
        <f t="shared" ref="AJ59:AL59" si="100">SUM(AJ56:AJ58)</f>
        <v>0</v>
      </c>
      <c r="AK59" s="579">
        <f t="shared" si="100"/>
        <v>0</v>
      </c>
      <c r="AL59" s="579">
        <f t="shared" si="100"/>
        <v>0</v>
      </c>
    </row>
    <row r="60" spans="2:38" x14ac:dyDescent="0.2">
      <c r="B60" s="259"/>
      <c r="C60" s="259"/>
      <c r="D60" s="259"/>
      <c r="E60" s="259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59"/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</row>
    <row r="61" spans="2:38" x14ac:dyDescent="0.2">
      <c r="B61" s="259"/>
      <c r="C61" s="259"/>
      <c r="D61" s="259"/>
      <c r="E61" s="259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59"/>
      <c r="S61" s="259"/>
      <c r="T61" s="259"/>
      <c r="U61" s="259"/>
      <c r="V61" s="259"/>
      <c r="W61" s="259"/>
      <c r="X61" s="259"/>
      <c r="Y61" s="259"/>
      <c r="Z61" s="259"/>
      <c r="AA61" s="259"/>
      <c r="AB61" s="259"/>
      <c r="AC61" s="259"/>
      <c r="AD61" s="259"/>
      <c r="AE61" s="259"/>
      <c r="AF61" s="259"/>
      <c r="AG61" s="259"/>
      <c r="AH61" s="259"/>
    </row>
    <row r="62" spans="2:38" x14ac:dyDescent="0.2">
      <c r="B62" s="577" t="s">
        <v>673</v>
      </c>
      <c r="C62" s="578"/>
      <c r="D62" s="581">
        <f t="shared" ref="D62:E62" si="101">D86+D106+D126+D146</f>
        <v>0</v>
      </c>
      <c r="E62" s="581">
        <f t="shared" si="101"/>
        <v>0</v>
      </c>
      <c r="F62" s="581">
        <f>F86+F106+F126+F146</f>
        <v>0</v>
      </c>
      <c r="G62" s="581">
        <f t="shared" ref="G62:AI65" si="102">G86+G106+G126+G146</f>
        <v>0</v>
      </c>
      <c r="H62" s="581">
        <f t="shared" si="102"/>
        <v>0</v>
      </c>
      <c r="I62" s="581">
        <f t="shared" si="102"/>
        <v>0</v>
      </c>
      <c r="J62" s="581">
        <f t="shared" si="102"/>
        <v>0</v>
      </c>
      <c r="K62" s="581">
        <f t="shared" si="102"/>
        <v>0</v>
      </c>
      <c r="L62" s="581">
        <f t="shared" si="102"/>
        <v>0</v>
      </c>
      <c r="M62" s="581">
        <f t="shared" si="102"/>
        <v>0</v>
      </c>
      <c r="N62" s="581">
        <f t="shared" si="102"/>
        <v>0</v>
      </c>
      <c r="O62" s="581">
        <f t="shared" si="102"/>
        <v>0</v>
      </c>
      <c r="P62" s="581">
        <f t="shared" si="102"/>
        <v>0</v>
      </c>
      <c r="Q62" s="581">
        <f t="shared" si="102"/>
        <v>0</v>
      </c>
      <c r="R62" s="581">
        <f t="shared" si="102"/>
        <v>0</v>
      </c>
      <c r="S62" s="581">
        <f t="shared" si="102"/>
        <v>0</v>
      </c>
      <c r="T62" s="581">
        <f t="shared" si="102"/>
        <v>0</v>
      </c>
      <c r="U62" s="581">
        <f t="shared" si="102"/>
        <v>0</v>
      </c>
      <c r="V62" s="581">
        <f t="shared" si="102"/>
        <v>0</v>
      </c>
      <c r="W62" s="581">
        <f t="shared" si="102"/>
        <v>0</v>
      </c>
      <c r="X62" s="581">
        <f t="shared" si="102"/>
        <v>0</v>
      </c>
      <c r="Y62" s="581">
        <f t="shared" si="102"/>
        <v>0</v>
      </c>
      <c r="Z62" s="581">
        <f t="shared" si="102"/>
        <v>0</v>
      </c>
      <c r="AA62" s="581">
        <f t="shared" si="102"/>
        <v>0</v>
      </c>
      <c r="AB62" s="581">
        <f t="shared" si="102"/>
        <v>0</v>
      </c>
      <c r="AC62" s="581">
        <f t="shared" si="102"/>
        <v>0</v>
      </c>
      <c r="AD62" s="581">
        <f t="shared" si="102"/>
        <v>0</v>
      </c>
      <c r="AE62" s="581">
        <f t="shared" si="102"/>
        <v>0</v>
      </c>
      <c r="AF62" s="581">
        <f t="shared" si="102"/>
        <v>0</v>
      </c>
      <c r="AG62" s="581">
        <f t="shared" si="102"/>
        <v>0</v>
      </c>
      <c r="AH62" s="581">
        <f t="shared" si="102"/>
        <v>0</v>
      </c>
      <c r="AI62" s="581">
        <f t="shared" si="102"/>
        <v>0</v>
      </c>
      <c r="AJ62" s="581">
        <f t="shared" ref="AJ62:AL62" si="103">AJ86+AJ106+AJ126+AJ146</f>
        <v>0</v>
      </c>
      <c r="AK62" s="581">
        <f t="shared" si="103"/>
        <v>0</v>
      </c>
      <c r="AL62" s="581">
        <f t="shared" si="103"/>
        <v>0</v>
      </c>
    </row>
    <row r="63" spans="2:38" x14ac:dyDescent="0.2">
      <c r="B63" s="16" t="s">
        <v>671</v>
      </c>
      <c r="C63" s="3"/>
      <c r="D63" s="581">
        <f t="shared" ref="D63:E63" si="104">D87+D107+D127+D147</f>
        <v>0</v>
      </c>
      <c r="E63" s="581">
        <f t="shared" si="104"/>
        <v>0</v>
      </c>
      <c r="F63" s="581">
        <f t="shared" ref="F63:U65" si="105">F87+F107+F127+F147</f>
        <v>0</v>
      </c>
      <c r="G63" s="581">
        <f t="shared" si="102"/>
        <v>0</v>
      </c>
      <c r="H63" s="581">
        <f t="shared" si="102"/>
        <v>0</v>
      </c>
      <c r="I63" s="581">
        <f t="shared" si="102"/>
        <v>0</v>
      </c>
      <c r="J63" s="581">
        <f t="shared" si="102"/>
        <v>0</v>
      </c>
      <c r="K63" s="581">
        <f t="shared" si="102"/>
        <v>0</v>
      </c>
      <c r="L63" s="581">
        <f t="shared" si="102"/>
        <v>0</v>
      </c>
      <c r="M63" s="581">
        <f t="shared" si="102"/>
        <v>0</v>
      </c>
      <c r="N63" s="581">
        <f t="shared" si="102"/>
        <v>0</v>
      </c>
      <c r="O63" s="581">
        <f t="shared" si="102"/>
        <v>0</v>
      </c>
      <c r="P63" s="581">
        <f t="shared" si="102"/>
        <v>0</v>
      </c>
      <c r="Q63" s="581">
        <f t="shared" si="102"/>
        <v>0</v>
      </c>
      <c r="R63" s="581">
        <f t="shared" si="102"/>
        <v>0</v>
      </c>
      <c r="S63" s="581">
        <f t="shared" si="102"/>
        <v>0</v>
      </c>
      <c r="T63" s="581">
        <f t="shared" si="102"/>
        <v>0</v>
      </c>
      <c r="U63" s="581">
        <f t="shared" si="102"/>
        <v>0</v>
      </c>
      <c r="V63" s="581">
        <f t="shared" si="102"/>
        <v>0</v>
      </c>
      <c r="W63" s="581">
        <f t="shared" si="102"/>
        <v>0</v>
      </c>
      <c r="X63" s="581">
        <f t="shared" si="102"/>
        <v>0</v>
      </c>
      <c r="Y63" s="581">
        <f t="shared" si="102"/>
        <v>0</v>
      </c>
      <c r="Z63" s="581">
        <f t="shared" si="102"/>
        <v>0</v>
      </c>
      <c r="AA63" s="581">
        <f t="shared" si="102"/>
        <v>0</v>
      </c>
      <c r="AB63" s="581">
        <f t="shared" si="102"/>
        <v>0</v>
      </c>
      <c r="AC63" s="581">
        <f t="shared" si="102"/>
        <v>0</v>
      </c>
      <c r="AD63" s="581">
        <f t="shared" si="102"/>
        <v>0</v>
      </c>
      <c r="AE63" s="581">
        <f t="shared" si="102"/>
        <v>0</v>
      </c>
      <c r="AF63" s="581">
        <f t="shared" si="102"/>
        <v>0</v>
      </c>
      <c r="AG63" s="581">
        <f t="shared" si="102"/>
        <v>0</v>
      </c>
      <c r="AH63" s="581">
        <f t="shared" si="102"/>
        <v>0</v>
      </c>
      <c r="AI63" s="581">
        <f t="shared" si="102"/>
        <v>0</v>
      </c>
      <c r="AJ63" s="581">
        <f t="shared" ref="AJ63:AL63" si="106">AJ87+AJ107+AJ127+AJ147</f>
        <v>0</v>
      </c>
      <c r="AK63" s="581">
        <f t="shared" si="106"/>
        <v>0</v>
      </c>
      <c r="AL63" s="581">
        <f t="shared" si="106"/>
        <v>0</v>
      </c>
    </row>
    <row r="64" spans="2:38" x14ac:dyDescent="0.2">
      <c r="B64" s="584" t="s">
        <v>672</v>
      </c>
      <c r="C64" s="3"/>
      <c r="D64" s="581">
        <f t="shared" ref="D64:E64" si="107">D88+D108+D128+D148</f>
        <v>0</v>
      </c>
      <c r="E64" s="581">
        <f t="shared" si="107"/>
        <v>0</v>
      </c>
      <c r="F64" s="581">
        <f t="shared" si="105"/>
        <v>0</v>
      </c>
      <c r="G64" s="581">
        <f t="shared" si="105"/>
        <v>0</v>
      </c>
      <c r="H64" s="581">
        <f t="shared" si="105"/>
        <v>0</v>
      </c>
      <c r="I64" s="581">
        <f t="shared" si="105"/>
        <v>0</v>
      </c>
      <c r="J64" s="581">
        <f t="shared" si="105"/>
        <v>0</v>
      </c>
      <c r="K64" s="581">
        <f t="shared" si="105"/>
        <v>0</v>
      </c>
      <c r="L64" s="581">
        <f t="shared" si="105"/>
        <v>0</v>
      </c>
      <c r="M64" s="581">
        <f t="shared" si="105"/>
        <v>0</v>
      </c>
      <c r="N64" s="581">
        <f t="shared" si="105"/>
        <v>0</v>
      </c>
      <c r="O64" s="581">
        <f t="shared" si="105"/>
        <v>0</v>
      </c>
      <c r="P64" s="581">
        <f t="shared" si="105"/>
        <v>0</v>
      </c>
      <c r="Q64" s="581">
        <f t="shared" si="105"/>
        <v>0</v>
      </c>
      <c r="R64" s="581">
        <f t="shared" si="105"/>
        <v>0</v>
      </c>
      <c r="S64" s="581">
        <f t="shared" si="105"/>
        <v>0</v>
      </c>
      <c r="T64" s="581">
        <f t="shared" si="105"/>
        <v>0</v>
      </c>
      <c r="U64" s="581">
        <f t="shared" si="105"/>
        <v>0</v>
      </c>
      <c r="V64" s="581">
        <f t="shared" si="102"/>
        <v>0</v>
      </c>
      <c r="W64" s="581">
        <f t="shared" si="102"/>
        <v>0</v>
      </c>
      <c r="X64" s="581">
        <f t="shared" si="102"/>
        <v>0</v>
      </c>
      <c r="Y64" s="581">
        <f t="shared" si="102"/>
        <v>0</v>
      </c>
      <c r="Z64" s="581">
        <f t="shared" si="102"/>
        <v>0</v>
      </c>
      <c r="AA64" s="581">
        <f t="shared" si="102"/>
        <v>0</v>
      </c>
      <c r="AB64" s="581">
        <f t="shared" si="102"/>
        <v>0</v>
      </c>
      <c r="AC64" s="581">
        <f t="shared" si="102"/>
        <v>0</v>
      </c>
      <c r="AD64" s="581">
        <f t="shared" si="102"/>
        <v>0</v>
      </c>
      <c r="AE64" s="581">
        <f t="shared" si="102"/>
        <v>0</v>
      </c>
      <c r="AF64" s="581">
        <f t="shared" si="102"/>
        <v>0</v>
      </c>
      <c r="AG64" s="581">
        <f t="shared" si="102"/>
        <v>0</v>
      </c>
      <c r="AH64" s="581">
        <f t="shared" si="102"/>
        <v>0</v>
      </c>
      <c r="AI64" s="581">
        <f t="shared" si="102"/>
        <v>0</v>
      </c>
      <c r="AJ64" s="581">
        <f t="shared" ref="AJ64:AL64" si="108">AJ88+AJ108+AJ128+AJ148</f>
        <v>0</v>
      </c>
      <c r="AK64" s="581">
        <f t="shared" si="108"/>
        <v>0</v>
      </c>
      <c r="AL64" s="581">
        <f t="shared" si="108"/>
        <v>0</v>
      </c>
    </row>
    <row r="65" spans="2:38" x14ac:dyDescent="0.2">
      <c r="B65" s="16" t="s">
        <v>659</v>
      </c>
      <c r="C65" s="3"/>
      <c r="D65" s="581">
        <f t="shared" ref="D65:E65" si="109">D89+D109+D129+D149</f>
        <v>0</v>
      </c>
      <c r="E65" s="581">
        <f t="shared" si="109"/>
        <v>0</v>
      </c>
      <c r="F65" s="581">
        <f t="shared" si="105"/>
        <v>0</v>
      </c>
      <c r="G65" s="581">
        <f t="shared" si="102"/>
        <v>0</v>
      </c>
      <c r="H65" s="581">
        <f t="shared" si="102"/>
        <v>0</v>
      </c>
      <c r="I65" s="581">
        <f t="shared" si="102"/>
        <v>0</v>
      </c>
      <c r="J65" s="581">
        <f t="shared" si="102"/>
        <v>0</v>
      </c>
      <c r="K65" s="581">
        <f t="shared" si="102"/>
        <v>0</v>
      </c>
      <c r="L65" s="581">
        <f t="shared" si="102"/>
        <v>0</v>
      </c>
      <c r="M65" s="581">
        <f t="shared" si="102"/>
        <v>0</v>
      </c>
      <c r="N65" s="581">
        <f t="shared" si="102"/>
        <v>0</v>
      </c>
      <c r="O65" s="581">
        <f t="shared" si="102"/>
        <v>0</v>
      </c>
      <c r="P65" s="581">
        <f t="shared" si="102"/>
        <v>0</v>
      </c>
      <c r="Q65" s="581">
        <f t="shared" si="102"/>
        <v>0</v>
      </c>
      <c r="R65" s="581">
        <f t="shared" si="102"/>
        <v>0</v>
      </c>
      <c r="S65" s="581">
        <f t="shared" si="102"/>
        <v>0</v>
      </c>
      <c r="T65" s="581">
        <f t="shared" si="102"/>
        <v>0</v>
      </c>
      <c r="U65" s="581">
        <f t="shared" si="102"/>
        <v>0</v>
      </c>
      <c r="V65" s="581">
        <f t="shared" si="102"/>
        <v>0</v>
      </c>
      <c r="W65" s="581">
        <f t="shared" si="102"/>
        <v>0</v>
      </c>
      <c r="X65" s="581">
        <f t="shared" si="102"/>
        <v>0</v>
      </c>
      <c r="Y65" s="581">
        <f t="shared" si="102"/>
        <v>0</v>
      </c>
      <c r="Z65" s="581">
        <f t="shared" si="102"/>
        <v>0</v>
      </c>
      <c r="AA65" s="581">
        <f t="shared" si="102"/>
        <v>0</v>
      </c>
      <c r="AB65" s="581">
        <f t="shared" si="102"/>
        <v>0</v>
      </c>
      <c r="AC65" s="581">
        <f t="shared" si="102"/>
        <v>0</v>
      </c>
      <c r="AD65" s="581">
        <f t="shared" si="102"/>
        <v>0</v>
      </c>
      <c r="AE65" s="581">
        <f t="shared" si="102"/>
        <v>0</v>
      </c>
      <c r="AF65" s="581">
        <f t="shared" si="102"/>
        <v>0</v>
      </c>
      <c r="AG65" s="581">
        <f t="shared" si="102"/>
        <v>0</v>
      </c>
      <c r="AH65" s="581">
        <f t="shared" si="102"/>
        <v>0</v>
      </c>
      <c r="AI65" s="581">
        <f t="shared" si="102"/>
        <v>0</v>
      </c>
      <c r="AJ65" s="581">
        <f t="shared" ref="AJ65:AL65" si="110">AJ89+AJ109+AJ129+AJ149</f>
        <v>0</v>
      </c>
      <c r="AK65" s="581">
        <f t="shared" si="110"/>
        <v>0</v>
      </c>
      <c r="AL65" s="581">
        <f t="shared" si="110"/>
        <v>0</v>
      </c>
    </row>
    <row r="66" spans="2:38" x14ac:dyDescent="0.2">
      <c r="B66" s="585" t="s">
        <v>676</v>
      </c>
      <c r="C66" s="583"/>
      <c r="D66" s="586">
        <f t="shared" ref="D66:G66" si="111">SUM(D63:D65)</f>
        <v>0</v>
      </c>
      <c r="E66" s="586">
        <f t="shared" si="111"/>
        <v>0</v>
      </c>
      <c r="F66" s="586">
        <f t="shared" si="111"/>
        <v>0</v>
      </c>
      <c r="G66" s="586">
        <f t="shared" si="111"/>
        <v>0</v>
      </c>
      <c r="H66" s="586">
        <f t="shared" ref="H66:AI66" si="112">SUM(H63:H65)</f>
        <v>0</v>
      </c>
      <c r="I66" s="586">
        <f t="shared" si="112"/>
        <v>0</v>
      </c>
      <c r="J66" s="586">
        <f t="shared" si="112"/>
        <v>0</v>
      </c>
      <c r="K66" s="586">
        <f t="shared" si="112"/>
        <v>0</v>
      </c>
      <c r="L66" s="586">
        <f t="shared" si="112"/>
        <v>0</v>
      </c>
      <c r="M66" s="586">
        <f t="shared" si="112"/>
        <v>0</v>
      </c>
      <c r="N66" s="586">
        <f t="shared" si="112"/>
        <v>0</v>
      </c>
      <c r="O66" s="586">
        <f t="shared" si="112"/>
        <v>0</v>
      </c>
      <c r="P66" s="586">
        <f t="shared" si="112"/>
        <v>0</v>
      </c>
      <c r="Q66" s="586">
        <f t="shared" si="112"/>
        <v>0</v>
      </c>
      <c r="R66" s="586">
        <f t="shared" si="112"/>
        <v>0</v>
      </c>
      <c r="S66" s="586">
        <f t="shared" si="112"/>
        <v>0</v>
      </c>
      <c r="T66" s="586">
        <f t="shared" si="112"/>
        <v>0</v>
      </c>
      <c r="U66" s="586">
        <f t="shared" si="112"/>
        <v>0</v>
      </c>
      <c r="V66" s="586">
        <f t="shared" si="112"/>
        <v>0</v>
      </c>
      <c r="W66" s="586">
        <f t="shared" si="112"/>
        <v>0</v>
      </c>
      <c r="X66" s="586">
        <f t="shared" si="112"/>
        <v>0</v>
      </c>
      <c r="Y66" s="586">
        <f t="shared" si="112"/>
        <v>0</v>
      </c>
      <c r="Z66" s="586">
        <f t="shared" si="112"/>
        <v>0</v>
      </c>
      <c r="AA66" s="586">
        <f t="shared" si="112"/>
        <v>0</v>
      </c>
      <c r="AB66" s="586">
        <f t="shared" si="112"/>
        <v>0</v>
      </c>
      <c r="AC66" s="586">
        <f t="shared" si="112"/>
        <v>0</v>
      </c>
      <c r="AD66" s="586">
        <f t="shared" si="112"/>
        <v>0</v>
      </c>
      <c r="AE66" s="586">
        <f t="shared" si="112"/>
        <v>0</v>
      </c>
      <c r="AF66" s="586">
        <f t="shared" si="112"/>
        <v>0</v>
      </c>
      <c r="AG66" s="586">
        <f t="shared" si="112"/>
        <v>0</v>
      </c>
      <c r="AH66" s="586">
        <f t="shared" si="112"/>
        <v>0</v>
      </c>
      <c r="AI66" s="586">
        <f t="shared" si="112"/>
        <v>0</v>
      </c>
      <c r="AJ66" s="586">
        <f t="shared" ref="AJ66:AL66" si="113">SUM(AJ63:AJ65)</f>
        <v>0</v>
      </c>
      <c r="AK66" s="586">
        <f t="shared" si="113"/>
        <v>0</v>
      </c>
      <c r="AL66" s="586">
        <f t="shared" si="113"/>
        <v>0</v>
      </c>
    </row>
    <row r="67" spans="2:38" x14ac:dyDescent="0.2">
      <c r="B67" s="259"/>
      <c r="C67" s="259"/>
      <c r="D67" s="575"/>
      <c r="E67" s="259"/>
      <c r="F67" s="259"/>
      <c r="G67" s="587"/>
      <c r="H67" s="587"/>
      <c r="I67" s="587"/>
      <c r="J67" s="587"/>
      <c r="K67" s="587"/>
      <c r="L67" s="587"/>
      <c r="M67" s="587"/>
      <c r="N67" s="587"/>
      <c r="O67" s="587"/>
      <c r="P67" s="587"/>
      <c r="Q67" s="587"/>
      <c r="R67" s="587"/>
      <c r="S67" s="587"/>
      <c r="T67" s="587"/>
      <c r="U67" s="587"/>
      <c r="V67" s="587"/>
      <c r="W67" s="587"/>
      <c r="X67" s="587"/>
      <c r="Y67" s="587"/>
      <c r="Z67" s="587"/>
      <c r="AA67" s="587"/>
      <c r="AB67" s="587"/>
      <c r="AC67" s="587"/>
      <c r="AD67" s="587"/>
      <c r="AE67" s="587"/>
      <c r="AF67" s="587"/>
      <c r="AG67" s="587"/>
      <c r="AH67" s="587"/>
      <c r="AI67" s="587"/>
      <c r="AJ67" s="587"/>
      <c r="AK67" s="587"/>
      <c r="AL67" s="587"/>
    </row>
    <row r="68" spans="2:38" x14ac:dyDescent="0.2">
      <c r="B68" s="585" t="s">
        <v>276</v>
      </c>
      <c r="C68" s="588"/>
      <c r="D68" s="589">
        <f>SUM(E68:AH68)</f>
        <v>0</v>
      </c>
      <c r="E68" s="589">
        <f>SUM(F68:AI68)</f>
        <v>0</v>
      </c>
      <c r="F68" s="589">
        <f>F59+F66</f>
        <v>0</v>
      </c>
      <c r="G68" s="589">
        <f>G59+G66</f>
        <v>0</v>
      </c>
      <c r="H68" s="589">
        <f t="shared" ref="H68:AI68" si="114">H59+H66</f>
        <v>0</v>
      </c>
      <c r="I68" s="589">
        <f t="shared" si="114"/>
        <v>0</v>
      </c>
      <c r="J68" s="589">
        <f t="shared" si="114"/>
        <v>0</v>
      </c>
      <c r="K68" s="589">
        <f t="shared" si="114"/>
        <v>0</v>
      </c>
      <c r="L68" s="589">
        <f t="shared" si="114"/>
        <v>0</v>
      </c>
      <c r="M68" s="589">
        <f t="shared" si="114"/>
        <v>0</v>
      </c>
      <c r="N68" s="589">
        <f t="shared" si="114"/>
        <v>0</v>
      </c>
      <c r="O68" s="589">
        <f t="shared" si="114"/>
        <v>0</v>
      </c>
      <c r="P68" s="589">
        <f t="shared" si="114"/>
        <v>0</v>
      </c>
      <c r="Q68" s="589">
        <f t="shared" si="114"/>
        <v>0</v>
      </c>
      <c r="R68" s="589">
        <f t="shared" si="114"/>
        <v>0</v>
      </c>
      <c r="S68" s="589">
        <f t="shared" si="114"/>
        <v>0</v>
      </c>
      <c r="T68" s="589">
        <f t="shared" si="114"/>
        <v>0</v>
      </c>
      <c r="U68" s="589">
        <f t="shared" si="114"/>
        <v>0</v>
      </c>
      <c r="V68" s="589">
        <f t="shared" si="114"/>
        <v>0</v>
      </c>
      <c r="W68" s="589">
        <f t="shared" si="114"/>
        <v>0</v>
      </c>
      <c r="X68" s="589">
        <f t="shared" si="114"/>
        <v>0</v>
      </c>
      <c r="Y68" s="589">
        <f t="shared" si="114"/>
        <v>0</v>
      </c>
      <c r="Z68" s="589">
        <f t="shared" si="114"/>
        <v>0</v>
      </c>
      <c r="AA68" s="589">
        <f t="shared" si="114"/>
        <v>0</v>
      </c>
      <c r="AB68" s="589">
        <f t="shared" si="114"/>
        <v>0</v>
      </c>
      <c r="AC68" s="589">
        <f t="shared" si="114"/>
        <v>0</v>
      </c>
      <c r="AD68" s="589">
        <f t="shared" si="114"/>
        <v>0</v>
      </c>
      <c r="AE68" s="589">
        <f t="shared" si="114"/>
        <v>0</v>
      </c>
      <c r="AF68" s="589">
        <f t="shared" si="114"/>
        <v>0</v>
      </c>
      <c r="AG68" s="589">
        <f t="shared" si="114"/>
        <v>0</v>
      </c>
      <c r="AH68" s="589">
        <f t="shared" si="114"/>
        <v>0</v>
      </c>
      <c r="AI68" s="589">
        <f t="shared" si="114"/>
        <v>0</v>
      </c>
      <c r="AJ68" s="589">
        <f t="shared" ref="AJ68:AL68" si="115">AJ59+AJ66</f>
        <v>0</v>
      </c>
      <c r="AK68" s="589">
        <f t="shared" si="115"/>
        <v>0</v>
      </c>
      <c r="AL68" s="589">
        <f t="shared" si="115"/>
        <v>0</v>
      </c>
    </row>
  </sheetData>
  <sheetProtection algorithmName="SHA-512" hashValue="+Lu3Pd/ok+CC4NEJeTx+Xn3nZxiePGdP/PHazRHNWY0qhTqRUsuLGzP0WYlXtiV+QMxEthW0hrtKrI+aVU40ig==" saltValue="RBToheuSSY0izMTyn7j7+w==" spinCount="100000" sheet="1" objects="1" scenarios="1"/>
  <mergeCells count="2">
    <mergeCell ref="B53:B54"/>
    <mergeCell ref="C53:C54"/>
  </mergeCells>
  <phoneticPr fontId="3" type="noConversion"/>
  <pageMargins left="0.2421875" right="0.2421875" top="1" bottom="1" header="0.5" footer="0.5"/>
  <pageSetup paperSize="9" scale="75" orientation="landscape" r:id="rId1"/>
  <headerFooter alignWithMargins="0">
    <oddHeader>&amp;LPríloha 7: Štandardné tabuľky - Cesty
&amp;"Arial,Tučné"&amp;12 07 Ocenenie času</oddHeader>
    <oddFooter>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FF99"/>
  </sheetPr>
  <dimension ref="B2:AL91"/>
  <sheetViews>
    <sheetView showWhiteSpace="0" zoomScale="90" zoomScaleNormal="90" workbookViewId="0"/>
  </sheetViews>
  <sheetFormatPr defaultColWidth="9.140625" defaultRowHeight="11.25" x14ac:dyDescent="0.2"/>
  <cols>
    <col min="1" max="1" width="2.85546875" style="233" customWidth="1"/>
    <col min="2" max="2" width="49.85546875" style="233" bestFit="1" customWidth="1"/>
    <col min="3" max="3" width="8.85546875" style="233" bestFit="1" customWidth="1"/>
    <col min="4" max="6" width="4.7109375" style="233" bestFit="1" customWidth="1"/>
    <col min="7" max="38" width="8.5703125" style="233" bestFit="1" customWidth="1"/>
    <col min="39" max="16384" width="9.140625" style="233"/>
  </cols>
  <sheetData>
    <row r="2" spans="2:38" x14ac:dyDescent="0.2">
      <c r="B2" s="232"/>
      <c r="C2" s="232"/>
      <c r="D2" s="232" t="s">
        <v>10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</row>
    <row r="3" spans="2:38" x14ac:dyDescent="0.2">
      <c r="B3" s="234" t="s">
        <v>419</v>
      </c>
      <c r="C3" s="234"/>
      <c r="D3" s="239">
        <v>1</v>
      </c>
      <c r="E3" s="239">
        <v>2</v>
      </c>
      <c r="F3" s="239">
        <v>3</v>
      </c>
      <c r="G3" s="239">
        <v>4</v>
      </c>
      <c r="H3" s="239">
        <v>5</v>
      </c>
      <c r="I3" s="239">
        <v>6</v>
      </c>
      <c r="J3" s="239">
        <v>7</v>
      </c>
      <c r="K3" s="239">
        <v>8</v>
      </c>
      <c r="L3" s="239">
        <v>9</v>
      </c>
      <c r="M3" s="239">
        <v>10</v>
      </c>
      <c r="N3" s="239">
        <v>11</v>
      </c>
      <c r="O3" s="239">
        <v>12</v>
      </c>
      <c r="P3" s="239">
        <v>13</v>
      </c>
      <c r="Q3" s="239">
        <v>14</v>
      </c>
      <c r="R3" s="239">
        <v>15</v>
      </c>
      <c r="S3" s="239">
        <v>16</v>
      </c>
      <c r="T3" s="239">
        <v>17</v>
      </c>
      <c r="U3" s="239">
        <v>18</v>
      </c>
      <c r="V3" s="239">
        <v>19</v>
      </c>
      <c r="W3" s="239">
        <v>20</v>
      </c>
      <c r="X3" s="239">
        <v>21</v>
      </c>
      <c r="Y3" s="239">
        <v>22</v>
      </c>
      <c r="Z3" s="239">
        <v>23</v>
      </c>
      <c r="AA3" s="239">
        <v>24</v>
      </c>
      <c r="AB3" s="239">
        <v>25</v>
      </c>
      <c r="AC3" s="239">
        <v>26</v>
      </c>
      <c r="AD3" s="239">
        <v>27</v>
      </c>
      <c r="AE3" s="239">
        <v>28</v>
      </c>
      <c r="AF3" s="239">
        <v>29</v>
      </c>
      <c r="AG3" s="239">
        <v>30</v>
      </c>
      <c r="AH3" s="239">
        <v>31</v>
      </c>
      <c r="AI3" s="239">
        <v>32</v>
      </c>
      <c r="AJ3" s="239">
        <v>33</v>
      </c>
      <c r="AK3" s="239">
        <v>34</v>
      </c>
      <c r="AL3" s="239">
        <v>35</v>
      </c>
    </row>
    <row r="4" spans="2:38" x14ac:dyDescent="0.2">
      <c r="B4" s="235" t="s">
        <v>33</v>
      </c>
      <c r="C4" s="236" t="s">
        <v>9</v>
      </c>
      <c r="D4" s="241">
        <v>2025</v>
      </c>
      <c r="E4" s="241">
        <f>$D$4+D3</f>
        <v>2026</v>
      </c>
      <c r="F4" s="241">
        <f>$D$4+E3</f>
        <v>2027</v>
      </c>
      <c r="G4" s="241">
        <f t="shared" ref="G4:AG4" si="0">$D$4+F3</f>
        <v>2028</v>
      </c>
      <c r="H4" s="241">
        <f t="shared" si="0"/>
        <v>2029</v>
      </c>
      <c r="I4" s="241">
        <f t="shared" si="0"/>
        <v>2030</v>
      </c>
      <c r="J4" s="241">
        <f t="shared" si="0"/>
        <v>2031</v>
      </c>
      <c r="K4" s="241">
        <f t="shared" si="0"/>
        <v>2032</v>
      </c>
      <c r="L4" s="241">
        <f t="shared" si="0"/>
        <v>2033</v>
      </c>
      <c r="M4" s="241">
        <f t="shared" si="0"/>
        <v>2034</v>
      </c>
      <c r="N4" s="241">
        <f t="shared" si="0"/>
        <v>2035</v>
      </c>
      <c r="O4" s="241">
        <f t="shared" si="0"/>
        <v>2036</v>
      </c>
      <c r="P4" s="241">
        <f t="shared" si="0"/>
        <v>2037</v>
      </c>
      <c r="Q4" s="241">
        <f t="shared" si="0"/>
        <v>2038</v>
      </c>
      <c r="R4" s="241">
        <f t="shared" si="0"/>
        <v>2039</v>
      </c>
      <c r="S4" s="241">
        <f t="shared" si="0"/>
        <v>2040</v>
      </c>
      <c r="T4" s="241">
        <f t="shared" si="0"/>
        <v>2041</v>
      </c>
      <c r="U4" s="241">
        <f t="shared" si="0"/>
        <v>2042</v>
      </c>
      <c r="V4" s="241">
        <f t="shared" si="0"/>
        <v>2043</v>
      </c>
      <c r="W4" s="241">
        <f t="shared" si="0"/>
        <v>2044</v>
      </c>
      <c r="X4" s="241">
        <f t="shared" si="0"/>
        <v>2045</v>
      </c>
      <c r="Y4" s="241">
        <f t="shared" si="0"/>
        <v>2046</v>
      </c>
      <c r="Z4" s="241">
        <f t="shared" si="0"/>
        <v>2047</v>
      </c>
      <c r="AA4" s="241">
        <f t="shared" si="0"/>
        <v>2048</v>
      </c>
      <c r="AB4" s="241">
        <f t="shared" si="0"/>
        <v>2049</v>
      </c>
      <c r="AC4" s="241">
        <f t="shared" si="0"/>
        <v>2050</v>
      </c>
      <c r="AD4" s="241">
        <f t="shared" si="0"/>
        <v>2051</v>
      </c>
      <c r="AE4" s="241">
        <f t="shared" si="0"/>
        <v>2052</v>
      </c>
      <c r="AF4" s="241">
        <f t="shared" si="0"/>
        <v>2053</v>
      </c>
      <c r="AG4" s="241">
        <f t="shared" si="0"/>
        <v>2054</v>
      </c>
      <c r="AH4" s="241">
        <f t="shared" ref="AH4" si="1">$D$4+AG3</f>
        <v>2055</v>
      </c>
      <c r="AI4" s="241">
        <f t="shared" ref="AI4" si="2">$D$4+AH3</f>
        <v>2056</v>
      </c>
      <c r="AJ4" s="241">
        <f t="shared" ref="AJ4" si="3">$D$4+AI3</f>
        <v>2057</v>
      </c>
      <c r="AK4" s="241">
        <f t="shared" ref="AK4" si="4">$D$4+AJ3</f>
        <v>2058</v>
      </c>
      <c r="AL4" s="241">
        <f t="shared" ref="AL4" si="5">$D$4+AK3</f>
        <v>2059</v>
      </c>
    </row>
    <row r="5" spans="2:38" x14ac:dyDescent="0.2">
      <c r="B5" s="232" t="s">
        <v>376</v>
      </c>
      <c r="C5" s="237">
        <f>SUM(D5:AL5)</f>
        <v>6586652.3274249118</v>
      </c>
      <c r="D5" s="238">
        <f>Vstupy!C34/Vstupy!$B$13*Parametre!$BA$158*Parametre!$D$165*Vstupy!C47</f>
        <v>0</v>
      </c>
      <c r="E5" s="238">
        <f>Vstupy!D34/Vstupy!$B$13*Parametre!$BA$158*Parametre!$D$165*Vstupy!D47</f>
        <v>0</v>
      </c>
      <c r="F5" s="238">
        <f>Vstupy!E34/Vstupy!$B$13*Parametre!$BA$158*Parametre!$D$165*Vstupy!E47</f>
        <v>0</v>
      </c>
      <c r="G5" s="238">
        <f>Vstupy!F34/Vstupy!$B$13*Parametre!$BA$158*Parametre!$D$165*Vstupy!F47</f>
        <v>142867.23788976553</v>
      </c>
      <c r="H5" s="238">
        <f>Vstupy!G34/Vstupy!$B$13*Parametre!$BA$158*Parametre!$D$165*Vstupy!G47</f>
        <v>142867.23788976553</v>
      </c>
      <c r="I5" s="238">
        <f>Vstupy!H34/Vstupy!$B$13*Parametre!$BA$158*Parametre!$D$165*Vstupy!H47</f>
        <v>142867.23788976553</v>
      </c>
      <c r="J5" s="238">
        <f>Vstupy!I34/Vstupy!$B$13*Parametre!$BA$158*Parametre!$D$165*Vstupy!I47</f>
        <v>142867.23788976553</v>
      </c>
      <c r="K5" s="238">
        <f>Vstupy!J34/Vstupy!$B$13*Parametre!$BA$158*Parametre!$D$165*Vstupy!J47</f>
        <v>142867.23788976553</v>
      </c>
      <c r="L5" s="238">
        <f>Vstupy!K34/Vstupy!$B$13*Parametre!$BA$158*Parametre!$D$165*Vstupy!K47</f>
        <v>142867.23788976553</v>
      </c>
      <c r="M5" s="238">
        <f>Vstupy!L34/Vstupy!$B$13*Parametre!$BA$158*Parametre!$D$165*Vstupy!L47</f>
        <v>142867.23788976553</v>
      </c>
      <c r="N5" s="238">
        <f>Vstupy!M34/Vstupy!$B$13*Parametre!$BA$158*Parametre!$D$165*Vstupy!M47</f>
        <v>142867.23788976553</v>
      </c>
      <c r="O5" s="238">
        <f>Vstupy!N34/Vstupy!$B$13*Parametre!$BA$158*Parametre!$D$165*Vstupy!N47</f>
        <v>142867.23788976553</v>
      </c>
      <c r="P5" s="238">
        <f>Vstupy!O34/Vstupy!$B$13*Parametre!$BA$158*Parametre!$D$165*Vstupy!O47</f>
        <v>142867.23788976553</v>
      </c>
      <c r="Q5" s="238">
        <f>Vstupy!P34/Vstupy!$B$13*Parametre!$BA$158*Parametre!$D$165*Vstupy!P47</f>
        <v>142867.23788976553</v>
      </c>
      <c r="R5" s="238">
        <f>Vstupy!Q34/Vstupy!$B$13*Parametre!$BA$158*Parametre!$D$165*Vstupy!Q47</f>
        <v>142867.23788976553</v>
      </c>
      <c r="S5" s="238">
        <f>Vstupy!R34/Vstupy!$B$13*Parametre!$BA$158*Parametre!$D$165*Vstupy!R47</f>
        <v>142867.23788976553</v>
      </c>
      <c r="T5" s="238">
        <f>Vstupy!S34/Vstupy!$B$13*Parametre!$BA$158*Parametre!$D$165*Vstupy!S47</f>
        <v>142581.50341398598</v>
      </c>
      <c r="U5" s="238">
        <f>Vstupy!T34/Vstupy!$B$13*Parametre!$BA$158*Parametre!$D$165*Vstupy!T47</f>
        <v>142296.34040715802</v>
      </c>
      <c r="V5" s="238">
        <f>Vstupy!U34/Vstupy!$B$13*Parametre!$BA$158*Parametre!$D$165*Vstupy!U47</f>
        <v>142011.74772634372</v>
      </c>
      <c r="W5" s="238">
        <f>Vstupy!V34/Vstupy!$B$13*Parametre!$BA$158*Parametre!$D$165*Vstupy!V47</f>
        <v>141727.72423089104</v>
      </c>
      <c r="X5" s="238">
        <f>Vstupy!W34/Vstupy!$B$13*Parametre!$BA$158*Parametre!$D$165*Vstupy!W47</f>
        <v>141444.26878242925</v>
      </c>
      <c r="Y5" s="238">
        <f>Vstupy!X34/Vstupy!$B$13*Parametre!$BA$158*Parametre!$D$165*Vstupy!X47</f>
        <v>141161.38024486438</v>
      </c>
      <c r="Z5" s="238">
        <f>Vstupy!Y34/Vstupy!$B$13*Parametre!$BA$158*Parametre!$D$165*Vstupy!Y47</f>
        <v>140879.05748437461</v>
      </c>
      <c r="AA5" s="238">
        <f>Vstupy!Z34/Vstupy!$B$13*Parametre!$BA$158*Parametre!$D$165*Vstupy!Z47</f>
        <v>140597.29936940587</v>
      </c>
      <c r="AB5" s="238">
        <f>Vstupy!AA34/Vstupy!$B$13*Parametre!$BA$158*Parametre!$D$165*Vstupy!AA47</f>
        <v>140316.10477066707</v>
      </c>
      <c r="AC5" s="238">
        <f>Vstupy!AB34/Vstupy!$B$13*Parametre!$BA$158*Parametre!$D$165*Vstupy!AB47</f>
        <v>140035.47256112576</v>
      </c>
      <c r="AD5" s="238">
        <f>Vstupy!AC34/Vstupy!$B$13*Parametre!$BA$158*Parametre!$D$165*Vstupy!AC47</f>
        <v>139755.40161600348</v>
      </c>
      <c r="AE5" s="238">
        <f>Vstupy!AD34/Vstupy!$B$13*Parametre!$BA$158*Parametre!$D$165*Vstupy!AD47</f>
        <v>139475.89081277148</v>
      </c>
      <c r="AF5" s="238">
        <f>Vstupy!AE34/Vstupy!$B$13*Parametre!$BA$158*Parametre!$D$165*Vstupy!AE47</f>
        <v>139196.93903114591</v>
      </c>
      <c r="AG5" s="238">
        <f>Vstupy!AF34/Vstupy!$B$13*Parametre!$BA$158*Parametre!$D$165*Vstupy!AF47</f>
        <v>138918.54515308363</v>
      </c>
      <c r="AH5" s="238">
        <f>Vstupy!AG34/Vstupy!$B$13*Parametre!$BA$158*Parametre!$D$165*Vstupy!AG47</f>
        <v>277281.41612555494</v>
      </c>
      <c r="AI5" s="238">
        <f>Vstupy!AH34/Vstupy!$B$13*Parametre!$BA$158*Parametre!$D$165*Vstupy!AH47</f>
        <v>415090.2799399558</v>
      </c>
      <c r="AJ5" s="238">
        <f>Vstupy!AI34/Vstupy!$B$13*Parametre!$BA$158*Parametre!$D$165*Vstupy!AI47</f>
        <v>552346.79917343461</v>
      </c>
      <c r="AK5" s="238">
        <f>Vstupy!AJ34/Vstupy!$B$13*Parametre!$BA$158*Parametre!$D$165*Vstupy!AJ47</f>
        <v>689052.63196885947</v>
      </c>
      <c r="AL5" s="238">
        <f>Vstupy!AK34/Vstupy!$B$13*Parametre!$BA$158*Parametre!$D$165*Vstupy!AK47</f>
        <v>825209.43204590608</v>
      </c>
    </row>
    <row r="6" spans="2:38" x14ac:dyDescent="0.2">
      <c r="B6" s="232" t="s">
        <v>377</v>
      </c>
      <c r="C6" s="237">
        <f>SUM(D6:AL6)</f>
        <v>4780634.7537761461</v>
      </c>
      <c r="D6" s="238">
        <f>Vstupy!C34/Vstupy!$B$13*Parametre!$BA$159*Parametre!$D$166*Vstupy!C47</f>
        <v>0</v>
      </c>
      <c r="E6" s="238">
        <f>Vstupy!D34/Vstupy!$B$13*Parametre!$BA$159*Parametre!$D$166*Vstupy!D47</f>
        <v>0</v>
      </c>
      <c r="F6" s="238">
        <f>Vstupy!E34/Vstupy!$B$13*Parametre!$BA$159*Parametre!$D$166*Vstupy!E47</f>
        <v>0</v>
      </c>
      <c r="G6" s="238">
        <f>Vstupy!F34/Vstupy!$B$13*Parametre!$BA$159*Parametre!$D$166*Vstupy!F47</f>
        <v>103693.9629845072</v>
      </c>
      <c r="H6" s="238">
        <f>Vstupy!G34/Vstupy!$B$13*Parametre!$BA$159*Parametre!$D$166*Vstupy!G47</f>
        <v>103693.9629845072</v>
      </c>
      <c r="I6" s="238">
        <f>Vstupy!H34/Vstupy!$B$13*Parametre!$BA$159*Parametre!$D$166*Vstupy!H47</f>
        <v>103693.9629845072</v>
      </c>
      <c r="J6" s="238">
        <f>Vstupy!I34/Vstupy!$B$13*Parametre!$BA$159*Parametre!$D$166*Vstupy!I47</f>
        <v>103693.9629845072</v>
      </c>
      <c r="K6" s="238">
        <f>Vstupy!J34/Vstupy!$B$13*Parametre!$BA$159*Parametre!$D$166*Vstupy!J47</f>
        <v>103693.9629845072</v>
      </c>
      <c r="L6" s="238">
        <f>Vstupy!K34/Vstupy!$B$13*Parametre!$BA$159*Parametre!$D$166*Vstupy!K47</f>
        <v>103693.9629845072</v>
      </c>
      <c r="M6" s="238">
        <f>Vstupy!L34/Vstupy!$B$13*Parametre!$BA$159*Parametre!$D$166*Vstupy!L47</f>
        <v>103693.9629845072</v>
      </c>
      <c r="N6" s="238">
        <f>Vstupy!M34/Vstupy!$B$13*Parametre!$BA$159*Parametre!$D$166*Vstupy!M47</f>
        <v>103693.9629845072</v>
      </c>
      <c r="O6" s="238">
        <f>Vstupy!N34/Vstupy!$B$13*Parametre!$BA$159*Parametre!$D$166*Vstupy!N47</f>
        <v>103693.9629845072</v>
      </c>
      <c r="P6" s="238">
        <f>Vstupy!O34/Vstupy!$B$13*Parametre!$BA$159*Parametre!$D$166*Vstupy!O47</f>
        <v>103693.9629845072</v>
      </c>
      <c r="Q6" s="238">
        <f>Vstupy!P34/Vstupy!$B$13*Parametre!$BA$159*Parametre!$D$166*Vstupy!P47</f>
        <v>103693.9629845072</v>
      </c>
      <c r="R6" s="238">
        <f>Vstupy!Q34/Vstupy!$B$13*Parametre!$BA$159*Parametre!$D$166*Vstupy!Q47</f>
        <v>103693.9629845072</v>
      </c>
      <c r="S6" s="238">
        <f>Vstupy!R34/Vstupy!$B$13*Parametre!$BA$159*Parametre!$D$166*Vstupy!R47</f>
        <v>103693.9629845072</v>
      </c>
      <c r="T6" s="238">
        <f>Vstupy!S34/Vstupy!$B$13*Parametre!$BA$159*Parametre!$D$166*Vstupy!S47</f>
        <v>103486.5750585382</v>
      </c>
      <c r="U6" s="238">
        <f>Vstupy!T34/Vstupy!$B$13*Parametre!$BA$159*Parametre!$D$166*Vstupy!T47</f>
        <v>103279.60190842113</v>
      </c>
      <c r="V6" s="238">
        <f>Vstupy!U34/Vstupy!$B$13*Parametre!$BA$159*Parametre!$D$166*Vstupy!U47</f>
        <v>103073.04270460429</v>
      </c>
      <c r="W6" s="238">
        <f>Vstupy!V34/Vstupy!$B$13*Parametre!$BA$159*Parametre!$D$166*Vstupy!V47</f>
        <v>102866.89661919509</v>
      </c>
      <c r="X6" s="238">
        <f>Vstupy!W34/Vstupy!$B$13*Parametre!$BA$159*Parametre!$D$166*Vstupy!W47</f>
        <v>102661.16282595669</v>
      </c>
      <c r="Y6" s="238">
        <f>Vstupy!X34/Vstupy!$B$13*Parametre!$BA$159*Parametre!$D$166*Vstupy!X47</f>
        <v>102455.84050030478</v>
      </c>
      <c r="Z6" s="238">
        <f>Vstupy!Y34/Vstupy!$B$13*Parametre!$BA$159*Parametre!$D$166*Vstupy!Y47</f>
        <v>102250.92881930416</v>
      </c>
      <c r="AA6" s="238">
        <f>Vstupy!Z34/Vstupy!$B$13*Parametre!$BA$159*Parametre!$D$166*Vstupy!Z47</f>
        <v>102046.42696166555</v>
      </c>
      <c r="AB6" s="238">
        <f>Vstupy!AA34/Vstupy!$B$13*Parametre!$BA$159*Parametre!$D$166*Vstupy!AA47</f>
        <v>101842.33410774221</v>
      </c>
      <c r="AC6" s="238">
        <f>Vstupy!AB34/Vstupy!$B$13*Parametre!$BA$159*Parametre!$D$166*Vstupy!AB47</f>
        <v>101638.64943952674</v>
      </c>
      <c r="AD6" s="238">
        <f>Vstupy!AC34/Vstupy!$B$13*Parametre!$BA$159*Parametre!$D$166*Vstupy!AC47</f>
        <v>101435.37214064767</v>
      </c>
      <c r="AE6" s="238">
        <f>Vstupy!AD34/Vstupy!$B$13*Parametre!$BA$159*Parametre!$D$166*Vstupy!AD47</f>
        <v>101232.50139636637</v>
      </c>
      <c r="AF6" s="238">
        <f>Vstupy!AE34/Vstupy!$B$13*Parametre!$BA$159*Parametre!$D$166*Vstupy!AE47</f>
        <v>101030.03639357362</v>
      </c>
      <c r="AG6" s="238">
        <f>Vstupy!AF34/Vstupy!$B$13*Parametre!$BA$159*Parametre!$D$166*Vstupy!AF47</f>
        <v>100827.97632078649</v>
      </c>
      <c r="AH6" s="238">
        <f>Vstupy!AG34/Vstupy!$B$13*Parametre!$BA$159*Parametre!$D$166*Vstupy!AG47</f>
        <v>201252.64073628985</v>
      </c>
      <c r="AI6" s="238">
        <f>Vstupy!AH34/Vstupy!$B$13*Parametre!$BA$159*Parametre!$D$166*Vstupy!AH47</f>
        <v>301275.20318222593</v>
      </c>
      <c r="AJ6" s="238">
        <f>Vstupy!AI34/Vstupy!$B$13*Parametre!$BA$159*Parametre!$D$166*Vstupy!AI47</f>
        <v>400896.87036781537</v>
      </c>
      <c r="AK6" s="238">
        <f>Vstupy!AJ34/Vstupy!$B$13*Parametre!$BA$159*Parametre!$D$166*Vstupy!AJ47</f>
        <v>500118.84578384954</v>
      </c>
      <c r="AL6" s="238">
        <f>Vstupy!AK34/Vstupy!$B$13*Parametre!$BA$159*Parametre!$D$166*Vstupy!AK47</f>
        <v>598942.32971073827</v>
      </c>
    </row>
    <row r="7" spans="2:38" x14ac:dyDescent="0.2">
      <c r="B7" s="232" t="s">
        <v>378</v>
      </c>
      <c r="C7" s="237">
        <f>SUM(D7:AL7)</f>
        <v>38335636.872389846</v>
      </c>
      <c r="D7" s="238">
        <f>Vstupy!C34/Vstupy!$B$13*Parametre!$BA$160*Parametre!$D$167*Vstupy!C47</f>
        <v>0</v>
      </c>
      <c r="E7" s="238">
        <f>Vstupy!D34/Vstupy!$B$13*Parametre!$BA$160*Parametre!$D$167*Vstupy!D47</f>
        <v>0</v>
      </c>
      <c r="F7" s="238">
        <f>Vstupy!E34/Vstupy!$B$13*Parametre!$BA$160*Parametre!$D$167*Vstupy!E47</f>
        <v>0</v>
      </c>
      <c r="G7" s="238">
        <f>Vstupy!F34/Vstupy!$B$13*Parametre!$BA$160*Parametre!$D$167*Vstupy!F47</f>
        <v>831515.96295725717</v>
      </c>
      <c r="H7" s="238">
        <f>Vstupy!G34/Vstupy!$B$13*Parametre!$BA$160*Parametre!$D$167*Vstupy!G47</f>
        <v>831515.96295725717</v>
      </c>
      <c r="I7" s="238">
        <f>Vstupy!H34/Vstupy!$B$13*Parametre!$BA$160*Parametre!$D$167*Vstupy!H47</f>
        <v>831515.96295725717</v>
      </c>
      <c r="J7" s="238">
        <f>Vstupy!I34/Vstupy!$B$13*Parametre!$BA$160*Parametre!$D$167*Vstupy!I47</f>
        <v>831515.96295725717</v>
      </c>
      <c r="K7" s="238">
        <f>Vstupy!J34/Vstupy!$B$13*Parametre!$BA$160*Parametre!$D$167*Vstupy!J47</f>
        <v>831515.96295725717</v>
      </c>
      <c r="L7" s="238">
        <f>Vstupy!K34/Vstupy!$B$13*Parametre!$BA$160*Parametre!$D$167*Vstupy!K47</f>
        <v>831515.96295725717</v>
      </c>
      <c r="M7" s="238">
        <f>Vstupy!L34/Vstupy!$B$13*Parametre!$BA$160*Parametre!$D$167*Vstupy!L47</f>
        <v>831515.96295725717</v>
      </c>
      <c r="N7" s="238">
        <f>Vstupy!M34/Vstupy!$B$13*Parametre!$BA$160*Parametre!$D$167*Vstupy!M47</f>
        <v>831515.96295725717</v>
      </c>
      <c r="O7" s="238">
        <f>Vstupy!N34/Vstupy!$B$13*Parametre!$BA$160*Parametre!$D$167*Vstupy!N47</f>
        <v>831515.96295725717</v>
      </c>
      <c r="P7" s="238">
        <f>Vstupy!O34/Vstupy!$B$13*Parametre!$BA$160*Parametre!$D$167*Vstupy!O47</f>
        <v>831515.96295725717</v>
      </c>
      <c r="Q7" s="238">
        <f>Vstupy!P34/Vstupy!$B$13*Parametre!$BA$160*Parametre!$D$167*Vstupy!P47</f>
        <v>831515.96295725717</v>
      </c>
      <c r="R7" s="238">
        <f>Vstupy!Q34/Vstupy!$B$13*Parametre!$BA$160*Parametre!$D$167*Vstupy!Q47</f>
        <v>831515.96295725717</v>
      </c>
      <c r="S7" s="238">
        <f>Vstupy!R34/Vstupy!$B$13*Parametre!$BA$160*Parametre!$D$167*Vstupy!R47</f>
        <v>831515.96295725717</v>
      </c>
      <c r="T7" s="238">
        <f>Vstupy!S34/Vstupy!$B$13*Parametre!$BA$160*Parametre!$D$167*Vstupy!S47</f>
        <v>829852.9310313426</v>
      </c>
      <c r="U7" s="238">
        <f>Vstupy!T34/Vstupy!$B$13*Parametre!$BA$160*Parametre!$D$167*Vstupy!T47</f>
        <v>828193.22516928008</v>
      </c>
      <c r="V7" s="238">
        <f>Vstupy!U34/Vstupy!$B$13*Parametre!$BA$160*Parametre!$D$167*Vstupy!U47</f>
        <v>826536.83871894132</v>
      </c>
      <c r="W7" s="238">
        <f>Vstupy!V34/Vstupy!$B$13*Parametre!$BA$160*Parametre!$D$167*Vstupy!V47</f>
        <v>824883.76504150371</v>
      </c>
      <c r="X7" s="238">
        <f>Vstupy!W34/Vstupy!$B$13*Parametre!$BA$160*Parametre!$D$167*Vstupy!W47</f>
        <v>823233.99751142063</v>
      </c>
      <c r="Y7" s="238">
        <f>Vstupy!X34/Vstupy!$B$13*Parametre!$BA$160*Parametre!$D$167*Vstupy!X47</f>
        <v>821587.52951639774</v>
      </c>
      <c r="Z7" s="238">
        <f>Vstupy!Y34/Vstupy!$B$13*Parametre!$BA$160*Parametre!$D$167*Vstupy!Y47</f>
        <v>819944.35445736488</v>
      </c>
      <c r="AA7" s="238">
        <f>Vstupy!Z34/Vstupy!$B$13*Parametre!$BA$160*Parametre!$D$167*Vstupy!Z47</f>
        <v>818304.46574845002</v>
      </c>
      <c r="AB7" s="238">
        <f>Vstupy!AA34/Vstupy!$B$13*Parametre!$BA$160*Parametre!$D$167*Vstupy!AA47</f>
        <v>816667.85681695316</v>
      </c>
      <c r="AC7" s="238">
        <f>Vstupy!AB34/Vstupy!$B$13*Parametre!$BA$160*Parametre!$D$167*Vstupy!AB47</f>
        <v>815034.52110331936</v>
      </c>
      <c r="AD7" s="238">
        <f>Vstupy!AC34/Vstupy!$B$13*Parametre!$BA$160*Parametre!$D$167*Vstupy!AC47</f>
        <v>813404.45206111262</v>
      </c>
      <c r="AE7" s="238">
        <f>Vstupy!AD34/Vstupy!$B$13*Parametre!$BA$160*Parametre!$D$167*Vstupy!AD47</f>
        <v>811777.64315699041</v>
      </c>
      <c r="AF7" s="238">
        <f>Vstupy!AE34/Vstupy!$B$13*Parametre!$BA$160*Parametre!$D$167*Vstupy!AE47</f>
        <v>810154.0878706763</v>
      </c>
      <c r="AG7" s="238">
        <f>Vstupy!AF34/Vstupy!$B$13*Parametre!$BA$160*Parametre!$D$167*Vstupy!AF47</f>
        <v>808533.77969493496</v>
      </c>
      <c r="AH7" s="238">
        <f>Vstupy!AG34/Vstupy!$B$13*Parametre!$BA$160*Parametre!$D$167*Vstupy!AG47</f>
        <v>1613833.4242710904</v>
      </c>
      <c r="AI7" s="238">
        <f>Vstupy!AH34/Vstupy!$B$13*Parametre!$BA$160*Parametre!$D$167*Vstupy!AH47</f>
        <v>2415908.6361338226</v>
      </c>
      <c r="AJ7" s="238">
        <f>Vstupy!AI34/Vstupy!$B$13*Parametre!$BA$160*Parametre!$D$167*Vstupy!AI47</f>
        <v>3214769.0918154069</v>
      </c>
      <c r="AK7" s="238">
        <f>Vstupy!AJ34/Vstupy!$B$13*Parametre!$BA$160*Parametre!$D$167*Vstupy!AJ47</f>
        <v>4010424.4420397193</v>
      </c>
      <c r="AL7" s="238">
        <f>Vstupy!AK34/Vstupy!$B$13*Parametre!$BA$160*Parametre!$D$167*Vstupy!AK47</f>
        <v>4802884.311786769</v>
      </c>
    </row>
    <row r="8" spans="2:38" x14ac:dyDescent="0.2">
      <c r="B8" s="232" t="s">
        <v>137</v>
      </c>
      <c r="C8" s="237">
        <f>SUM(D8:AL8)</f>
        <v>0</v>
      </c>
      <c r="D8" s="238">
        <v>0</v>
      </c>
      <c r="E8" s="238">
        <v>0</v>
      </c>
      <c r="F8" s="238">
        <v>0</v>
      </c>
      <c r="G8" s="238">
        <v>0</v>
      </c>
      <c r="H8" s="238">
        <v>0</v>
      </c>
      <c r="I8" s="238">
        <v>0</v>
      </c>
      <c r="J8" s="238">
        <v>0</v>
      </c>
      <c r="K8" s="238">
        <v>0</v>
      </c>
      <c r="L8" s="238">
        <v>0</v>
      </c>
      <c r="M8" s="238">
        <v>0</v>
      </c>
      <c r="N8" s="238">
        <v>0</v>
      </c>
      <c r="O8" s="238">
        <v>0</v>
      </c>
      <c r="P8" s="238">
        <v>0</v>
      </c>
      <c r="Q8" s="238">
        <v>0</v>
      </c>
      <c r="R8" s="238">
        <v>0</v>
      </c>
      <c r="S8" s="238">
        <v>0</v>
      </c>
      <c r="T8" s="238">
        <v>0</v>
      </c>
      <c r="U8" s="238">
        <v>0</v>
      </c>
      <c r="V8" s="238">
        <v>0</v>
      </c>
      <c r="W8" s="238">
        <v>0</v>
      </c>
      <c r="X8" s="238">
        <v>0</v>
      </c>
      <c r="Y8" s="238">
        <v>0</v>
      </c>
      <c r="Z8" s="238">
        <v>0</v>
      </c>
      <c r="AA8" s="238">
        <v>0</v>
      </c>
      <c r="AB8" s="238">
        <v>0</v>
      </c>
      <c r="AC8" s="238">
        <v>0</v>
      </c>
      <c r="AD8" s="238">
        <v>0</v>
      </c>
      <c r="AE8" s="238">
        <v>0</v>
      </c>
      <c r="AF8" s="238">
        <v>0</v>
      </c>
      <c r="AG8" s="238">
        <v>0</v>
      </c>
      <c r="AH8" s="238">
        <v>0</v>
      </c>
      <c r="AI8" s="238">
        <v>0</v>
      </c>
      <c r="AJ8" s="238">
        <v>0</v>
      </c>
      <c r="AK8" s="238">
        <v>0</v>
      </c>
      <c r="AL8" s="238">
        <v>0</v>
      </c>
    </row>
    <row r="11" spans="2:38" x14ac:dyDescent="0.2">
      <c r="B11" s="232"/>
      <c r="C11" s="232"/>
      <c r="D11" s="232" t="s">
        <v>10</v>
      </c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</row>
    <row r="12" spans="2:38" x14ac:dyDescent="0.2">
      <c r="B12" s="234" t="s">
        <v>420</v>
      </c>
      <c r="C12" s="234"/>
      <c r="D12" s="239">
        <v>1</v>
      </c>
      <c r="E12" s="239">
        <v>2</v>
      </c>
      <c r="F12" s="239">
        <v>3</v>
      </c>
      <c r="G12" s="239">
        <v>4</v>
      </c>
      <c r="H12" s="239">
        <v>5</v>
      </c>
      <c r="I12" s="239">
        <v>6</v>
      </c>
      <c r="J12" s="239">
        <v>7</v>
      </c>
      <c r="K12" s="239">
        <v>8</v>
      </c>
      <c r="L12" s="239">
        <v>9</v>
      </c>
      <c r="M12" s="239">
        <v>10</v>
      </c>
      <c r="N12" s="239">
        <v>11</v>
      </c>
      <c r="O12" s="239">
        <v>12</v>
      </c>
      <c r="P12" s="239">
        <v>13</v>
      </c>
      <c r="Q12" s="239">
        <v>14</v>
      </c>
      <c r="R12" s="239">
        <v>15</v>
      </c>
      <c r="S12" s="239">
        <v>16</v>
      </c>
      <c r="T12" s="239">
        <v>17</v>
      </c>
      <c r="U12" s="239">
        <v>18</v>
      </c>
      <c r="V12" s="239">
        <v>19</v>
      </c>
      <c r="W12" s="239">
        <v>20</v>
      </c>
      <c r="X12" s="239">
        <v>21</v>
      </c>
      <c r="Y12" s="239">
        <v>22</v>
      </c>
      <c r="Z12" s="239">
        <v>23</v>
      </c>
      <c r="AA12" s="239">
        <v>24</v>
      </c>
      <c r="AB12" s="239">
        <v>25</v>
      </c>
      <c r="AC12" s="239">
        <v>26</v>
      </c>
      <c r="AD12" s="239">
        <v>27</v>
      </c>
      <c r="AE12" s="239">
        <v>28</v>
      </c>
      <c r="AF12" s="239">
        <v>29</v>
      </c>
      <c r="AG12" s="239">
        <v>30</v>
      </c>
      <c r="AH12" s="239">
        <v>31</v>
      </c>
      <c r="AI12" s="239">
        <v>32</v>
      </c>
      <c r="AJ12" s="239">
        <v>33</v>
      </c>
      <c r="AK12" s="239">
        <v>34</v>
      </c>
      <c r="AL12" s="239">
        <v>35</v>
      </c>
    </row>
    <row r="13" spans="2:38" x14ac:dyDescent="0.2">
      <c r="B13" s="235" t="s">
        <v>34</v>
      </c>
      <c r="C13" s="236" t="s">
        <v>9</v>
      </c>
      <c r="D13" s="241">
        <f t="shared" ref="D13:AG13" si="6">D4</f>
        <v>2025</v>
      </c>
      <c r="E13" s="241">
        <f t="shared" si="6"/>
        <v>2026</v>
      </c>
      <c r="F13" s="241">
        <f t="shared" si="6"/>
        <v>2027</v>
      </c>
      <c r="G13" s="241">
        <f t="shared" si="6"/>
        <v>2028</v>
      </c>
      <c r="H13" s="241">
        <f t="shared" si="6"/>
        <v>2029</v>
      </c>
      <c r="I13" s="241">
        <f t="shared" si="6"/>
        <v>2030</v>
      </c>
      <c r="J13" s="241">
        <f t="shared" si="6"/>
        <v>2031</v>
      </c>
      <c r="K13" s="241">
        <f t="shared" si="6"/>
        <v>2032</v>
      </c>
      <c r="L13" s="241">
        <f t="shared" si="6"/>
        <v>2033</v>
      </c>
      <c r="M13" s="241">
        <f t="shared" si="6"/>
        <v>2034</v>
      </c>
      <c r="N13" s="241">
        <f t="shared" si="6"/>
        <v>2035</v>
      </c>
      <c r="O13" s="241">
        <f t="shared" si="6"/>
        <v>2036</v>
      </c>
      <c r="P13" s="241">
        <f t="shared" si="6"/>
        <v>2037</v>
      </c>
      <c r="Q13" s="241">
        <f t="shared" si="6"/>
        <v>2038</v>
      </c>
      <c r="R13" s="241">
        <f t="shared" si="6"/>
        <v>2039</v>
      </c>
      <c r="S13" s="241">
        <f t="shared" si="6"/>
        <v>2040</v>
      </c>
      <c r="T13" s="241">
        <f t="shared" si="6"/>
        <v>2041</v>
      </c>
      <c r="U13" s="241">
        <f t="shared" si="6"/>
        <v>2042</v>
      </c>
      <c r="V13" s="241">
        <f t="shared" si="6"/>
        <v>2043</v>
      </c>
      <c r="W13" s="241">
        <f t="shared" si="6"/>
        <v>2044</v>
      </c>
      <c r="X13" s="241">
        <f t="shared" si="6"/>
        <v>2045</v>
      </c>
      <c r="Y13" s="241">
        <f t="shared" si="6"/>
        <v>2046</v>
      </c>
      <c r="Z13" s="241">
        <f t="shared" si="6"/>
        <v>2047</v>
      </c>
      <c r="AA13" s="241">
        <f t="shared" si="6"/>
        <v>2048</v>
      </c>
      <c r="AB13" s="241">
        <f t="shared" si="6"/>
        <v>2049</v>
      </c>
      <c r="AC13" s="241">
        <f t="shared" si="6"/>
        <v>2050</v>
      </c>
      <c r="AD13" s="241">
        <f t="shared" si="6"/>
        <v>2051</v>
      </c>
      <c r="AE13" s="241">
        <f t="shared" si="6"/>
        <v>2052</v>
      </c>
      <c r="AF13" s="241">
        <f t="shared" si="6"/>
        <v>2053</v>
      </c>
      <c r="AG13" s="241">
        <f t="shared" si="6"/>
        <v>2054</v>
      </c>
      <c r="AH13" s="241">
        <f t="shared" ref="AH13:AL13" si="7">AH4</f>
        <v>2055</v>
      </c>
      <c r="AI13" s="241">
        <f t="shared" si="7"/>
        <v>2056</v>
      </c>
      <c r="AJ13" s="241">
        <f t="shared" si="7"/>
        <v>2057</v>
      </c>
      <c r="AK13" s="241">
        <f t="shared" si="7"/>
        <v>2058</v>
      </c>
      <c r="AL13" s="241">
        <f t="shared" si="7"/>
        <v>2059</v>
      </c>
    </row>
    <row r="14" spans="2:38" x14ac:dyDescent="0.2">
      <c r="B14" s="232" t="s">
        <v>376</v>
      </c>
      <c r="C14" s="237">
        <f>SUM(D14:AL14)</f>
        <v>0</v>
      </c>
      <c r="D14" s="238">
        <v>0</v>
      </c>
      <c r="E14" s="238">
        <v>0</v>
      </c>
      <c r="F14" s="238">
        <v>0</v>
      </c>
      <c r="G14" s="238">
        <v>0</v>
      </c>
      <c r="H14" s="238">
        <v>0</v>
      </c>
      <c r="I14" s="238">
        <v>0</v>
      </c>
      <c r="J14" s="238">
        <v>0</v>
      </c>
      <c r="K14" s="238">
        <v>0</v>
      </c>
      <c r="L14" s="238">
        <v>0</v>
      </c>
      <c r="M14" s="238">
        <v>0</v>
      </c>
      <c r="N14" s="238">
        <v>0</v>
      </c>
      <c r="O14" s="238">
        <v>0</v>
      </c>
      <c r="P14" s="238">
        <v>0</v>
      </c>
      <c r="Q14" s="238">
        <v>0</v>
      </c>
      <c r="R14" s="238">
        <v>0</v>
      </c>
      <c r="S14" s="238">
        <v>0</v>
      </c>
      <c r="T14" s="238">
        <v>0</v>
      </c>
      <c r="U14" s="238">
        <v>0</v>
      </c>
      <c r="V14" s="238">
        <v>0</v>
      </c>
      <c r="W14" s="238">
        <v>0</v>
      </c>
      <c r="X14" s="238">
        <v>0</v>
      </c>
      <c r="Y14" s="238">
        <v>0</v>
      </c>
      <c r="Z14" s="238">
        <v>0</v>
      </c>
      <c r="AA14" s="238">
        <v>0</v>
      </c>
      <c r="AB14" s="238">
        <v>0</v>
      </c>
      <c r="AC14" s="238">
        <v>0</v>
      </c>
      <c r="AD14" s="238">
        <v>0</v>
      </c>
      <c r="AE14" s="238">
        <v>0</v>
      </c>
      <c r="AF14" s="238">
        <v>0</v>
      </c>
      <c r="AG14" s="238">
        <v>0</v>
      </c>
      <c r="AH14" s="238">
        <v>0</v>
      </c>
      <c r="AI14" s="238">
        <v>0</v>
      </c>
      <c r="AJ14" s="238">
        <v>0</v>
      </c>
      <c r="AK14" s="238">
        <v>0</v>
      </c>
      <c r="AL14" s="238">
        <v>0</v>
      </c>
    </row>
    <row r="15" spans="2:38" x14ac:dyDescent="0.2">
      <c r="B15" s="232" t="s">
        <v>377</v>
      </c>
      <c r="C15" s="237">
        <f>SUM(D15:AL15)</f>
        <v>0</v>
      </c>
      <c r="D15" s="238">
        <v>0</v>
      </c>
      <c r="E15" s="238">
        <v>0</v>
      </c>
      <c r="F15" s="238">
        <v>0</v>
      </c>
      <c r="G15" s="238">
        <v>0</v>
      </c>
      <c r="H15" s="238">
        <v>0</v>
      </c>
      <c r="I15" s="238">
        <v>0</v>
      </c>
      <c r="J15" s="238">
        <v>0</v>
      </c>
      <c r="K15" s="238">
        <v>0</v>
      </c>
      <c r="L15" s="238">
        <v>0</v>
      </c>
      <c r="M15" s="238">
        <v>0</v>
      </c>
      <c r="N15" s="238">
        <v>0</v>
      </c>
      <c r="O15" s="238">
        <v>0</v>
      </c>
      <c r="P15" s="238">
        <v>0</v>
      </c>
      <c r="Q15" s="238">
        <v>0</v>
      </c>
      <c r="R15" s="238">
        <v>0</v>
      </c>
      <c r="S15" s="238">
        <v>0</v>
      </c>
      <c r="T15" s="238">
        <v>0</v>
      </c>
      <c r="U15" s="238">
        <v>0</v>
      </c>
      <c r="V15" s="238">
        <v>0</v>
      </c>
      <c r="W15" s="238">
        <v>0</v>
      </c>
      <c r="X15" s="238">
        <v>0</v>
      </c>
      <c r="Y15" s="238">
        <v>0</v>
      </c>
      <c r="Z15" s="238">
        <v>0</v>
      </c>
      <c r="AA15" s="238">
        <v>0</v>
      </c>
      <c r="AB15" s="238">
        <v>0</v>
      </c>
      <c r="AC15" s="238">
        <v>0</v>
      </c>
      <c r="AD15" s="238">
        <v>0</v>
      </c>
      <c r="AE15" s="238">
        <v>0</v>
      </c>
      <c r="AF15" s="238">
        <v>0</v>
      </c>
      <c r="AG15" s="238">
        <v>0</v>
      </c>
      <c r="AH15" s="238">
        <v>0</v>
      </c>
      <c r="AI15" s="238">
        <v>0</v>
      </c>
      <c r="AJ15" s="238">
        <v>0</v>
      </c>
      <c r="AK15" s="238">
        <v>0</v>
      </c>
      <c r="AL15" s="238">
        <v>0</v>
      </c>
    </row>
    <row r="16" spans="2:38" x14ac:dyDescent="0.2">
      <c r="B16" s="232" t="s">
        <v>378</v>
      </c>
      <c r="C16" s="237">
        <f>SUM(D16:AL16)</f>
        <v>0</v>
      </c>
      <c r="D16" s="238">
        <v>0</v>
      </c>
      <c r="E16" s="238">
        <v>0</v>
      </c>
      <c r="F16" s="238">
        <v>0</v>
      </c>
      <c r="G16" s="238">
        <v>0</v>
      </c>
      <c r="H16" s="238">
        <v>0</v>
      </c>
      <c r="I16" s="238">
        <v>0</v>
      </c>
      <c r="J16" s="238">
        <v>0</v>
      </c>
      <c r="K16" s="238">
        <v>0</v>
      </c>
      <c r="L16" s="238">
        <v>0</v>
      </c>
      <c r="M16" s="238">
        <v>0</v>
      </c>
      <c r="N16" s="238">
        <v>0</v>
      </c>
      <c r="O16" s="238">
        <v>0</v>
      </c>
      <c r="P16" s="238">
        <v>0</v>
      </c>
      <c r="Q16" s="238">
        <v>0</v>
      </c>
      <c r="R16" s="238">
        <v>0</v>
      </c>
      <c r="S16" s="238">
        <v>0</v>
      </c>
      <c r="T16" s="238">
        <v>0</v>
      </c>
      <c r="U16" s="238">
        <v>0</v>
      </c>
      <c r="V16" s="238">
        <v>0</v>
      </c>
      <c r="W16" s="238">
        <v>0</v>
      </c>
      <c r="X16" s="238">
        <v>0</v>
      </c>
      <c r="Y16" s="238">
        <v>0</v>
      </c>
      <c r="Z16" s="238">
        <v>0</v>
      </c>
      <c r="AA16" s="238">
        <v>0</v>
      </c>
      <c r="AB16" s="238">
        <v>0</v>
      </c>
      <c r="AC16" s="238">
        <v>0</v>
      </c>
      <c r="AD16" s="238">
        <v>0</v>
      </c>
      <c r="AE16" s="238">
        <v>0</v>
      </c>
      <c r="AF16" s="238">
        <v>0</v>
      </c>
      <c r="AG16" s="238">
        <v>0</v>
      </c>
      <c r="AH16" s="238">
        <v>0</v>
      </c>
      <c r="AI16" s="238">
        <v>0</v>
      </c>
      <c r="AJ16" s="238">
        <v>0</v>
      </c>
      <c r="AK16" s="238">
        <v>0</v>
      </c>
      <c r="AL16" s="238">
        <v>0</v>
      </c>
    </row>
    <row r="17" spans="2:38" x14ac:dyDescent="0.2">
      <c r="B17" s="232" t="s">
        <v>137</v>
      </c>
      <c r="C17" s="237">
        <f>SUM(D17:AL17)</f>
        <v>0</v>
      </c>
      <c r="D17" s="238">
        <v>0</v>
      </c>
      <c r="E17" s="238">
        <v>0</v>
      </c>
      <c r="F17" s="238">
        <v>0</v>
      </c>
      <c r="G17" s="238">
        <v>0</v>
      </c>
      <c r="H17" s="238">
        <v>0</v>
      </c>
      <c r="I17" s="238">
        <v>0</v>
      </c>
      <c r="J17" s="238">
        <v>0</v>
      </c>
      <c r="K17" s="238">
        <v>0</v>
      </c>
      <c r="L17" s="238">
        <v>0</v>
      </c>
      <c r="M17" s="238">
        <v>0</v>
      </c>
      <c r="N17" s="238">
        <v>0</v>
      </c>
      <c r="O17" s="238">
        <v>0</v>
      </c>
      <c r="P17" s="238">
        <v>0</v>
      </c>
      <c r="Q17" s="238">
        <v>0</v>
      </c>
      <c r="R17" s="238">
        <v>0</v>
      </c>
      <c r="S17" s="238">
        <v>0</v>
      </c>
      <c r="T17" s="238">
        <v>0</v>
      </c>
      <c r="U17" s="238">
        <v>0</v>
      </c>
      <c r="V17" s="238">
        <v>0</v>
      </c>
      <c r="W17" s="238">
        <v>0</v>
      </c>
      <c r="X17" s="238">
        <v>0</v>
      </c>
      <c r="Y17" s="238">
        <v>0</v>
      </c>
      <c r="Z17" s="238">
        <v>0</v>
      </c>
      <c r="AA17" s="238">
        <v>0</v>
      </c>
      <c r="AB17" s="238">
        <v>0</v>
      </c>
      <c r="AC17" s="238">
        <v>0</v>
      </c>
      <c r="AD17" s="238">
        <v>0</v>
      </c>
      <c r="AE17" s="238">
        <v>0</v>
      </c>
      <c r="AF17" s="238">
        <v>0</v>
      </c>
      <c r="AG17" s="238">
        <v>0</v>
      </c>
      <c r="AH17" s="238">
        <v>0</v>
      </c>
      <c r="AI17" s="238">
        <v>0</v>
      </c>
      <c r="AJ17" s="238">
        <v>0</v>
      </c>
      <c r="AK17" s="238">
        <v>0</v>
      </c>
      <c r="AL17" s="238">
        <v>0</v>
      </c>
    </row>
    <row r="20" spans="2:38" x14ac:dyDescent="0.2">
      <c r="B20" s="232"/>
      <c r="C20" s="232"/>
      <c r="D20" s="232" t="s">
        <v>10</v>
      </c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32"/>
      <c r="AI20" s="232"/>
      <c r="AJ20" s="232"/>
      <c r="AK20" s="232"/>
      <c r="AL20" s="232"/>
    </row>
    <row r="21" spans="2:38" x14ac:dyDescent="0.2">
      <c r="B21" s="234" t="s">
        <v>421</v>
      </c>
      <c r="C21" s="234"/>
      <c r="D21" s="239">
        <v>1</v>
      </c>
      <c r="E21" s="239">
        <v>2</v>
      </c>
      <c r="F21" s="239">
        <v>3</v>
      </c>
      <c r="G21" s="239">
        <v>4</v>
      </c>
      <c r="H21" s="239">
        <v>5</v>
      </c>
      <c r="I21" s="239">
        <v>6</v>
      </c>
      <c r="J21" s="239">
        <v>7</v>
      </c>
      <c r="K21" s="239">
        <v>8</v>
      </c>
      <c r="L21" s="239">
        <v>9</v>
      </c>
      <c r="M21" s="239">
        <v>10</v>
      </c>
      <c r="N21" s="239">
        <v>11</v>
      </c>
      <c r="O21" s="239">
        <v>12</v>
      </c>
      <c r="P21" s="239">
        <v>13</v>
      </c>
      <c r="Q21" s="239">
        <v>14</v>
      </c>
      <c r="R21" s="239">
        <v>15</v>
      </c>
      <c r="S21" s="239">
        <v>16</v>
      </c>
      <c r="T21" s="239">
        <v>17</v>
      </c>
      <c r="U21" s="239">
        <v>18</v>
      </c>
      <c r="V21" s="239">
        <v>19</v>
      </c>
      <c r="W21" s="239">
        <v>20</v>
      </c>
      <c r="X21" s="239">
        <v>21</v>
      </c>
      <c r="Y21" s="239">
        <v>22</v>
      </c>
      <c r="Z21" s="239">
        <v>23</v>
      </c>
      <c r="AA21" s="239">
        <v>24</v>
      </c>
      <c r="AB21" s="239">
        <v>25</v>
      </c>
      <c r="AC21" s="239">
        <v>26</v>
      </c>
      <c r="AD21" s="239">
        <v>27</v>
      </c>
      <c r="AE21" s="239">
        <v>28</v>
      </c>
      <c r="AF21" s="239">
        <v>29</v>
      </c>
      <c r="AG21" s="239">
        <v>30</v>
      </c>
      <c r="AH21" s="239">
        <v>31</v>
      </c>
      <c r="AI21" s="239">
        <v>32</v>
      </c>
      <c r="AJ21" s="239">
        <v>33</v>
      </c>
      <c r="AK21" s="239">
        <v>34</v>
      </c>
      <c r="AL21" s="239">
        <v>35</v>
      </c>
    </row>
    <row r="22" spans="2:38" x14ac:dyDescent="0.2">
      <c r="B22" s="235" t="s">
        <v>63</v>
      </c>
      <c r="C22" s="236" t="s">
        <v>9</v>
      </c>
      <c r="D22" s="241">
        <f t="shared" ref="D22:AG22" si="8">D4</f>
        <v>2025</v>
      </c>
      <c r="E22" s="241">
        <f t="shared" si="8"/>
        <v>2026</v>
      </c>
      <c r="F22" s="241">
        <f t="shared" si="8"/>
        <v>2027</v>
      </c>
      <c r="G22" s="241">
        <f t="shared" si="8"/>
        <v>2028</v>
      </c>
      <c r="H22" s="241">
        <f t="shared" si="8"/>
        <v>2029</v>
      </c>
      <c r="I22" s="241">
        <f t="shared" si="8"/>
        <v>2030</v>
      </c>
      <c r="J22" s="241">
        <f t="shared" si="8"/>
        <v>2031</v>
      </c>
      <c r="K22" s="241">
        <f t="shared" si="8"/>
        <v>2032</v>
      </c>
      <c r="L22" s="241">
        <f t="shared" si="8"/>
        <v>2033</v>
      </c>
      <c r="M22" s="241">
        <f t="shared" si="8"/>
        <v>2034</v>
      </c>
      <c r="N22" s="241">
        <f t="shared" si="8"/>
        <v>2035</v>
      </c>
      <c r="O22" s="241">
        <f t="shared" si="8"/>
        <v>2036</v>
      </c>
      <c r="P22" s="241">
        <f t="shared" si="8"/>
        <v>2037</v>
      </c>
      <c r="Q22" s="241">
        <f t="shared" si="8"/>
        <v>2038</v>
      </c>
      <c r="R22" s="241">
        <f t="shared" si="8"/>
        <v>2039</v>
      </c>
      <c r="S22" s="241">
        <f t="shared" si="8"/>
        <v>2040</v>
      </c>
      <c r="T22" s="241">
        <f t="shared" si="8"/>
        <v>2041</v>
      </c>
      <c r="U22" s="241">
        <f t="shared" si="8"/>
        <v>2042</v>
      </c>
      <c r="V22" s="241">
        <f t="shared" si="8"/>
        <v>2043</v>
      </c>
      <c r="W22" s="241">
        <f t="shared" si="8"/>
        <v>2044</v>
      </c>
      <c r="X22" s="241">
        <f t="shared" si="8"/>
        <v>2045</v>
      </c>
      <c r="Y22" s="241">
        <f t="shared" si="8"/>
        <v>2046</v>
      </c>
      <c r="Z22" s="241">
        <f t="shared" si="8"/>
        <v>2047</v>
      </c>
      <c r="AA22" s="241">
        <f t="shared" si="8"/>
        <v>2048</v>
      </c>
      <c r="AB22" s="241">
        <f t="shared" si="8"/>
        <v>2049</v>
      </c>
      <c r="AC22" s="241">
        <f t="shared" si="8"/>
        <v>2050</v>
      </c>
      <c r="AD22" s="241">
        <f t="shared" si="8"/>
        <v>2051</v>
      </c>
      <c r="AE22" s="241">
        <f t="shared" si="8"/>
        <v>2052</v>
      </c>
      <c r="AF22" s="241">
        <f t="shared" si="8"/>
        <v>2053</v>
      </c>
      <c r="AG22" s="241">
        <f t="shared" si="8"/>
        <v>2054</v>
      </c>
      <c r="AH22" s="241">
        <f t="shared" ref="AH22:AL22" si="9">AH4</f>
        <v>2055</v>
      </c>
      <c r="AI22" s="241">
        <f t="shared" si="9"/>
        <v>2056</v>
      </c>
      <c r="AJ22" s="241">
        <f t="shared" si="9"/>
        <v>2057</v>
      </c>
      <c r="AK22" s="241">
        <f t="shared" si="9"/>
        <v>2058</v>
      </c>
      <c r="AL22" s="241">
        <f t="shared" si="9"/>
        <v>2059</v>
      </c>
    </row>
    <row r="23" spans="2:38" x14ac:dyDescent="0.2">
      <c r="B23" s="232" t="s">
        <v>376</v>
      </c>
      <c r="C23" s="237">
        <f t="shared" ref="C23:C29" si="10">SUM(D23:AL23)</f>
        <v>6586652.3274249118</v>
      </c>
      <c r="D23" s="237">
        <f t="shared" ref="D23:AG23" si="11">D5-D14</f>
        <v>0</v>
      </c>
      <c r="E23" s="237">
        <f t="shared" si="11"/>
        <v>0</v>
      </c>
      <c r="F23" s="237">
        <f t="shared" si="11"/>
        <v>0</v>
      </c>
      <c r="G23" s="237">
        <f t="shared" si="11"/>
        <v>142867.23788976553</v>
      </c>
      <c r="H23" s="237">
        <f t="shared" si="11"/>
        <v>142867.23788976553</v>
      </c>
      <c r="I23" s="237">
        <f t="shared" si="11"/>
        <v>142867.23788976553</v>
      </c>
      <c r="J23" s="237">
        <f t="shared" si="11"/>
        <v>142867.23788976553</v>
      </c>
      <c r="K23" s="237">
        <f t="shared" si="11"/>
        <v>142867.23788976553</v>
      </c>
      <c r="L23" s="237">
        <f t="shared" si="11"/>
        <v>142867.23788976553</v>
      </c>
      <c r="M23" s="237">
        <f t="shared" si="11"/>
        <v>142867.23788976553</v>
      </c>
      <c r="N23" s="237">
        <f t="shared" si="11"/>
        <v>142867.23788976553</v>
      </c>
      <c r="O23" s="237">
        <f t="shared" si="11"/>
        <v>142867.23788976553</v>
      </c>
      <c r="P23" s="237">
        <f t="shared" si="11"/>
        <v>142867.23788976553</v>
      </c>
      <c r="Q23" s="237">
        <f t="shared" si="11"/>
        <v>142867.23788976553</v>
      </c>
      <c r="R23" s="237">
        <f t="shared" si="11"/>
        <v>142867.23788976553</v>
      </c>
      <c r="S23" s="237">
        <f t="shared" si="11"/>
        <v>142867.23788976553</v>
      </c>
      <c r="T23" s="237">
        <f t="shared" si="11"/>
        <v>142581.50341398598</v>
      </c>
      <c r="U23" s="237">
        <f t="shared" si="11"/>
        <v>142296.34040715802</v>
      </c>
      <c r="V23" s="237">
        <f t="shared" si="11"/>
        <v>142011.74772634372</v>
      </c>
      <c r="W23" s="237">
        <f t="shared" si="11"/>
        <v>141727.72423089104</v>
      </c>
      <c r="X23" s="237">
        <f t="shared" si="11"/>
        <v>141444.26878242925</v>
      </c>
      <c r="Y23" s="237">
        <f t="shared" si="11"/>
        <v>141161.38024486438</v>
      </c>
      <c r="Z23" s="237">
        <f t="shared" si="11"/>
        <v>140879.05748437461</v>
      </c>
      <c r="AA23" s="237">
        <f t="shared" si="11"/>
        <v>140597.29936940587</v>
      </c>
      <c r="AB23" s="237">
        <f t="shared" si="11"/>
        <v>140316.10477066707</v>
      </c>
      <c r="AC23" s="237">
        <f t="shared" si="11"/>
        <v>140035.47256112576</v>
      </c>
      <c r="AD23" s="237">
        <f t="shared" si="11"/>
        <v>139755.40161600348</v>
      </c>
      <c r="AE23" s="237">
        <f t="shared" si="11"/>
        <v>139475.89081277148</v>
      </c>
      <c r="AF23" s="237">
        <f t="shared" si="11"/>
        <v>139196.93903114591</v>
      </c>
      <c r="AG23" s="237">
        <f t="shared" si="11"/>
        <v>138918.54515308363</v>
      </c>
      <c r="AH23" s="237">
        <f t="shared" ref="AH23:AL23" si="12">AH5-AH14</f>
        <v>277281.41612555494</v>
      </c>
      <c r="AI23" s="237">
        <f t="shared" si="12"/>
        <v>415090.2799399558</v>
      </c>
      <c r="AJ23" s="237">
        <f t="shared" si="12"/>
        <v>552346.79917343461</v>
      </c>
      <c r="AK23" s="237">
        <f t="shared" si="12"/>
        <v>689052.63196885947</v>
      </c>
      <c r="AL23" s="237">
        <f t="shared" si="12"/>
        <v>825209.43204590608</v>
      </c>
    </row>
    <row r="24" spans="2:38" x14ac:dyDescent="0.2">
      <c r="B24" s="232" t="s">
        <v>377</v>
      </c>
      <c r="C24" s="237">
        <f t="shared" si="10"/>
        <v>4780634.7537761461</v>
      </c>
      <c r="D24" s="237">
        <f t="shared" ref="D24:AG24" si="13">D6-D15</f>
        <v>0</v>
      </c>
      <c r="E24" s="237">
        <f t="shared" si="13"/>
        <v>0</v>
      </c>
      <c r="F24" s="237">
        <f t="shared" si="13"/>
        <v>0</v>
      </c>
      <c r="G24" s="237">
        <f t="shared" si="13"/>
        <v>103693.9629845072</v>
      </c>
      <c r="H24" s="237">
        <f t="shared" si="13"/>
        <v>103693.9629845072</v>
      </c>
      <c r="I24" s="237">
        <f t="shared" si="13"/>
        <v>103693.9629845072</v>
      </c>
      <c r="J24" s="237">
        <f t="shared" si="13"/>
        <v>103693.9629845072</v>
      </c>
      <c r="K24" s="237">
        <f t="shared" si="13"/>
        <v>103693.9629845072</v>
      </c>
      <c r="L24" s="237">
        <f t="shared" si="13"/>
        <v>103693.9629845072</v>
      </c>
      <c r="M24" s="237">
        <f t="shared" si="13"/>
        <v>103693.9629845072</v>
      </c>
      <c r="N24" s="237">
        <f t="shared" si="13"/>
        <v>103693.9629845072</v>
      </c>
      <c r="O24" s="237">
        <f t="shared" si="13"/>
        <v>103693.9629845072</v>
      </c>
      <c r="P24" s="237">
        <f t="shared" si="13"/>
        <v>103693.9629845072</v>
      </c>
      <c r="Q24" s="237">
        <f t="shared" si="13"/>
        <v>103693.9629845072</v>
      </c>
      <c r="R24" s="237">
        <f t="shared" si="13"/>
        <v>103693.9629845072</v>
      </c>
      <c r="S24" s="237">
        <f t="shared" si="13"/>
        <v>103693.9629845072</v>
      </c>
      <c r="T24" s="237">
        <f t="shared" si="13"/>
        <v>103486.5750585382</v>
      </c>
      <c r="U24" s="237">
        <f t="shared" si="13"/>
        <v>103279.60190842113</v>
      </c>
      <c r="V24" s="237">
        <f t="shared" si="13"/>
        <v>103073.04270460429</v>
      </c>
      <c r="W24" s="237">
        <f t="shared" si="13"/>
        <v>102866.89661919509</v>
      </c>
      <c r="X24" s="237">
        <f t="shared" si="13"/>
        <v>102661.16282595669</v>
      </c>
      <c r="Y24" s="237">
        <f t="shared" si="13"/>
        <v>102455.84050030478</v>
      </c>
      <c r="Z24" s="237">
        <f t="shared" si="13"/>
        <v>102250.92881930416</v>
      </c>
      <c r="AA24" s="237">
        <f t="shared" si="13"/>
        <v>102046.42696166555</v>
      </c>
      <c r="AB24" s="237">
        <f t="shared" si="13"/>
        <v>101842.33410774221</v>
      </c>
      <c r="AC24" s="237">
        <f t="shared" si="13"/>
        <v>101638.64943952674</v>
      </c>
      <c r="AD24" s="237">
        <f t="shared" si="13"/>
        <v>101435.37214064767</v>
      </c>
      <c r="AE24" s="237">
        <f t="shared" si="13"/>
        <v>101232.50139636637</v>
      </c>
      <c r="AF24" s="237">
        <f t="shared" si="13"/>
        <v>101030.03639357362</v>
      </c>
      <c r="AG24" s="237">
        <f t="shared" si="13"/>
        <v>100827.97632078649</v>
      </c>
      <c r="AH24" s="237">
        <f t="shared" ref="AH24:AL24" si="14">AH6-AH15</f>
        <v>201252.64073628985</v>
      </c>
      <c r="AI24" s="237">
        <f t="shared" si="14"/>
        <v>301275.20318222593</v>
      </c>
      <c r="AJ24" s="237">
        <f t="shared" si="14"/>
        <v>400896.87036781537</v>
      </c>
      <c r="AK24" s="237">
        <f t="shared" si="14"/>
        <v>500118.84578384954</v>
      </c>
      <c r="AL24" s="237">
        <f t="shared" si="14"/>
        <v>598942.32971073827</v>
      </c>
    </row>
    <row r="25" spans="2:38" x14ac:dyDescent="0.2">
      <c r="B25" s="232" t="s">
        <v>378</v>
      </c>
      <c r="C25" s="237">
        <f t="shared" si="10"/>
        <v>38335636.872389846</v>
      </c>
      <c r="D25" s="240">
        <f t="shared" ref="D25:AG25" si="15">D7-D16</f>
        <v>0</v>
      </c>
      <c r="E25" s="240">
        <f t="shared" si="15"/>
        <v>0</v>
      </c>
      <c r="F25" s="240">
        <f t="shared" si="15"/>
        <v>0</v>
      </c>
      <c r="G25" s="240">
        <f t="shared" si="15"/>
        <v>831515.96295725717</v>
      </c>
      <c r="H25" s="240">
        <f t="shared" si="15"/>
        <v>831515.96295725717</v>
      </c>
      <c r="I25" s="240">
        <f t="shared" si="15"/>
        <v>831515.96295725717</v>
      </c>
      <c r="J25" s="240">
        <f t="shared" si="15"/>
        <v>831515.96295725717</v>
      </c>
      <c r="K25" s="240">
        <f t="shared" si="15"/>
        <v>831515.96295725717</v>
      </c>
      <c r="L25" s="240">
        <f t="shared" si="15"/>
        <v>831515.96295725717</v>
      </c>
      <c r="M25" s="240">
        <f t="shared" si="15"/>
        <v>831515.96295725717</v>
      </c>
      <c r="N25" s="240">
        <f t="shared" si="15"/>
        <v>831515.96295725717</v>
      </c>
      <c r="O25" s="240">
        <f t="shared" si="15"/>
        <v>831515.96295725717</v>
      </c>
      <c r="P25" s="240">
        <f t="shared" si="15"/>
        <v>831515.96295725717</v>
      </c>
      <c r="Q25" s="240">
        <f t="shared" si="15"/>
        <v>831515.96295725717</v>
      </c>
      <c r="R25" s="240">
        <f t="shared" si="15"/>
        <v>831515.96295725717</v>
      </c>
      <c r="S25" s="240">
        <f t="shared" si="15"/>
        <v>831515.96295725717</v>
      </c>
      <c r="T25" s="240">
        <f t="shared" si="15"/>
        <v>829852.9310313426</v>
      </c>
      <c r="U25" s="240">
        <f t="shared" si="15"/>
        <v>828193.22516928008</v>
      </c>
      <c r="V25" s="240">
        <f t="shared" si="15"/>
        <v>826536.83871894132</v>
      </c>
      <c r="W25" s="240">
        <f t="shared" si="15"/>
        <v>824883.76504150371</v>
      </c>
      <c r="X25" s="240">
        <f t="shared" si="15"/>
        <v>823233.99751142063</v>
      </c>
      <c r="Y25" s="240">
        <f t="shared" si="15"/>
        <v>821587.52951639774</v>
      </c>
      <c r="Z25" s="240">
        <f t="shared" si="15"/>
        <v>819944.35445736488</v>
      </c>
      <c r="AA25" s="240">
        <f t="shared" si="15"/>
        <v>818304.46574845002</v>
      </c>
      <c r="AB25" s="240">
        <f t="shared" si="15"/>
        <v>816667.85681695316</v>
      </c>
      <c r="AC25" s="240">
        <f t="shared" si="15"/>
        <v>815034.52110331936</v>
      </c>
      <c r="AD25" s="240">
        <f t="shared" si="15"/>
        <v>813404.45206111262</v>
      </c>
      <c r="AE25" s="240">
        <f t="shared" si="15"/>
        <v>811777.64315699041</v>
      </c>
      <c r="AF25" s="240">
        <f t="shared" si="15"/>
        <v>810154.0878706763</v>
      </c>
      <c r="AG25" s="240">
        <f t="shared" si="15"/>
        <v>808533.77969493496</v>
      </c>
      <c r="AH25" s="240">
        <f t="shared" ref="AH25:AL25" si="16">AH7-AH16</f>
        <v>1613833.4242710904</v>
      </c>
      <c r="AI25" s="240">
        <f t="shared" si="16"/>
        <v>2415908.6361338226</v>
      </c>
      <c r="AJ25" s="240">
        <f t="shared" si="16"/>
        <v>3214769.0918154069</v>
      </c>
      <c r="AK25" s="240">
        <f t="shared" si="16"/>
        <v>4010424.4420397193</v>
      </c>
      <c r="AL25" s="240">
        <f t="shared" si="16"/>
        <v>4802884.311786769</v>
      </c>
    </row>
    <row r="26" spans="2:38" ht="12" thickBot="1" x14ac:dyDescent="0.25">
      <c r="B26" s="242" t="s">
        <v>137</v>
      </c>
      <c r="C26" s="243">
        <f t="shared" si="10"/>
        <v>0</v>
      </c>
      <c r="D26" s="243">
        <f t="shared" ref="D26:AG26" si="17">D8-D17</f>
        <v>0</v>
      </c>
      <c r="E26" s="243">
        <f t="shared" si="17"/>
        <v>0</v>
      </c>
      <c r="F26" s="243">
        <f t="shared" si="17"/>
        <v>0</v>
      </c>
      <c r="G26" s="243">
        <f t="shared" si="17"/>
        <v>0</v>
      </c>
      <c r="H26" s="243">
        <f t="shared" si="17"/>
        <v>0</v>
      </c>
      <c r="I26" s="243">
        <f t="shared" si="17"/>
        <v>0</v>
      </c>
      <c r="J26" s="243">
        <f t="shared" si="17"/>
        <v>0</v>
      </c>
      <c r="K26" s="243">
        <f t="shared" si="17"/>
        <v>0</v>
      </c>
      <c r="L26" s="243">
        <f t="shared" si="17"/>
        <v>0</v>
      </c>
      <c r="M26" s="243">
        <f t="shared" si="17"/>
        <v>0</v>
      </c>
      <c r="N26" s="243">
        <f t="shared" si="17"/>
        <v>0</v>
      </c>
      <c r="O26" s="243">
        <f t="shared" si="17"/>
        <v>0</v>
      </c>
      <c r="P26" s="243">
        <f t="shared" si="17"/>
        <v>0</v>
      </c>
      <c r="Q26" s="243">
        <f t="shared" si="17"/>
        <v>0</v>
      </c>
      <c r="R26" s="243">
        <f t="shared" si="17"/>
        <v>0</v>
      </c>
      <c r="S26" s="243">
        <f t="shared" si="17"/>
        <v>0</v>
      </c>
      <c r="T26" s="243">
        <f t="shared" si="17"/>
        <v>0</v>
      </c>
      <c r="U26" s="243">
        <f t="shared" si="17"/>
        <v>0</v>
      </c>
      <c r="V26" s="243">
        <f t="shared" si="17"/>
        <v>0</v>
      </c>
      <c r="W26" s="243">
        <f t="shared" si="17"/>
        <v>0</v>
      </c>
      <c r="X26" s="243">
        <f t="shared" si="17"/>
        <v>0</v>
      </c>
      <c r="Y26" s="243">
        <f t="shared" si="17"/>
        <v>0</v>
      </c>
      <c r="Z26" s="243">
        <f t="shared" si="17"/>
        <v>0</v>
      </c>
      <c r="AA26" s="243">
        <f t="shared" si="17"/>
        <v>0</v>
      </c>
      <c r="AB26" s="243">
        <f t="shared" si="17"/>
        <v>0</v>
      </c>
      <c r="AC26" s="243">
        <f t="shared" si="17"/>
        <v>0</v>
      </c>
      <c r="AD26" s="243">
        <f t="shared" si="17"/>
        <v>0</v>
      </c>
      <c r="AE26" s="243">
        <f t="shared" si="17"/>
        <v>0</v>
      </c>
      <c r="AF26" s="243">
        <f t="shared" si="17"/>
        <v>0</v>
      </c>
      <c r="AG26" s="243">
        <f t="shared" si="17"/>
        <v>0</v>
      </c>
      <c r="AH26" s="243">
        <f t="shared" ref="AH26:AL26" si="18">AH8-AH17</f>
        <v>0</v>
      </c>
      <c r="AI26" s="243">
        <f t="shared" si="18"/>
        <v>0</v>
      </c>
      <c r="AJ26" s="243">
        <f t="shared" si="18"/>
        <v>0</v>
      </c>
      <c r="AK26" s="243">
        <f t="shared" si="18"/>
        <v>0</v>
      </c>
      <c r="AL26" s="243">
        <f t="shared" si="18"/>
        <v>0</v>
      </c>
    </row>
    <row r="27" spans="2:38" ht="12" thickTop="1" x14ac:dyDescent="0.2">
      <c r="B27" s="244" t="s">
        <v>379</v>
      </c>
      <c r="C27" s="245">
        <f t="shared" si="10"/>
        <v>6586652.3274249118</v>
      </c>
      <c r="D27" s="246">
        <f t="shared" ref="D27:AG27" si="19">D23</f>
        <v>0</v>
      </c>
      <c r="E27" s="246">
        <f t="shared" si="19"/>
        <v>0</v>
      </c>
      <c r="F27" s="246">
        <f t="shared" si="19"/>
        <v>0</v>
      </c>
      <c r="G27" s="246">
        <f t="shared" si="19"/>
        <v>142867.23788976553</v>
      </c>
      <c r="H27" s="246">
        <f t="shared" si="19"/>
        <v>142867.23788976553</v>
      </c>
      <c r="I27" s="246">
        <f t="shared" si="19"/>
        <v>142867.23788976553</v>
      </c>
      <c r="J27" s="246">
        <f t="shared" si="19"/>
        <v>142867.23788976553</v>
      </c>
      <c r="K27" s="246">
        <f t="shared" si="19"/>
        <v>142867.23788976553</v>
      </c>
      <c r="L27" s="246">
        <f t="shared" si="19"/>
        <v>142867.23788976553</v>
      </c>
      <c r="M27" s="246">
        <f t="shared" si="19"/>
        <v>142867.23788976553</v>
      </c>
      <c r="N27" s="246">
        <f t="shared" si="19"/>
        <v>142867.23788976553</v>
      </c>
      <c r="O27" s="246">
        <f t="shared" si="19"/>
        <v>142867.23788976553</v>
      </c>
      <c r="P27" s="246">
        <f t="shared" si="19"/>
        <v>142867.23788976553</v>
      </c>
      <c r="Q27" s="246">
        <f t="shared" si="19"/>
        <v>142867.23788976553</v>
      </c>
      <c r="R27" s="246">
        <f t="shared" si="19"/>
        <v>142867.23788976553</v>
      </c>
      <c r="S27" s="246">
        <f t="shared" si="19"/>
        <v>142867.23788976553</v>
      </c>
      <c r="T27" s="246">
        <f t="shared" si="19"/>
        <v>142581.50341398598</v>
      </c>
      <c r="U27" s="246">
        <f t="shared" si="19"/>
        <v>142296.34040715802</v>
      </c>
      <c r="V27" s="246">
        <f t="shared" si="19"/>
        <v>142011.74772634372</v>
      </c>
      <c r="W27" s="246">
        <f t="shared" si="19"/>
        <v>141727.72423089104</v>
      </c>
      <c r="X27" s="246">
        <f t="shared" si="19"/>
        <v>141444.26878242925</v>
      </c>
      <c r="Y27" s="246">
        <f t="shared" si="19"/>
        <v>141161.38024486438</v>
      </c>
      <c r="Z27" s="246">
        <f t="shared" si="19"/>
        <v>140879.05748437461</v>
      </c>
      <c r="AA27" s="246">
        <f t="shared" si="19"/>
        <v>140597.29936940587</v>
      </c>
      <c r="AB27" s="246">
        <f t="shared" si="19"/>
        <v>140316.10477066707</v>
      </c>
      <c r="AC27" s="246">
        <f t="shared" si="19"/>
        <v>140035.47256112576</v>
      </c>
      <c r="AD27" s="246">
        <f t="shared" si="19"/>
        <v>139755.40161600348</v>
      </c>
      <c r="AE27" s="246">
        <f t="shared" si="19"/>
        <v>139475.89081277148</v>
      </c>
      <c r="AF27" s="246">
        <f t="shared" si="19"/>
        <v>139196.93903114591</v>
      </c>
      <c r="AG27" s="246">
        <f t="shared" si="19"/>
        <v>138918.54515308363</v>
      </c>
      <c r="AH27" s="246">
        <f t="shared" ref="AH27:AL27" si="20">AH23</f>
        <v>277281.41612555494</v>
      </c>
      <c r="AI27" s="246">
        <f t="shared" si="20"/>
        <v>415090.2799399558</v>
      </c>
      <c r="AJ27" s="246">
        <f t="shared" si="20"/>
        <v>552346.79917343461</v>
      </c>
      <c r="AK27" s="246">
        <f t="shared" si="20"/>
        <v>689052.63196885947</v>
      </c>
      <c r="AL27" s="246">
        <f t="shared" si="20"/>
        <v>825209.43204590608</v>
      </c>
    </row>
    <row r="28" spans="2:38" x14ac:dyDescent="0.2">
      <c r="B28" s="232" t="s">
        <v>380</v>
      </c>
      <c r="C28" s="237">
        <f t="shared" si="10"/>
        <v>4780634.7537761461</v>
      </c>
      <c r="D28" s="237">
        <f>D24+D26</f>
        <v>0</v>
      </c>
      <c r="E28" s="237">
        <f t="shared" ref="E28:AG28" si="21">E24+E26</f>
        <v>0</v>
      </c>
      <c r="F28" s="237">
        <f t="shared" si="21"/>
        <v>0</v>
      </c>
      <c r="G28" s="237">
        <f t="shared" si="21"/>
        <v>103693.9629845072</v>
      </c>
      <c r="H28" s="237">
        <f t="shared" si="21"/>
        <v>103693.9629845072</v>
      </c>
      <c r="I28" s="237">
        <f t="shared" si="21"/>
        <v>103693.9629845072</v>
      </c>
      <c r="J28" s="237">
        <f t="shared" si="21"/>
        <v>103693.9629845072</v>
      </c>
      <c r="K28" s="237">
        <f t="shared" si="21"/>
        <v>103693.9629845072</v>
      </c>
      <c r="L28" s="237">
        <f t="shared" si="21"/>
        <v>103693.9629845072</v>
      </c>
      <c r="M28" s="237">
        <f t="shared" si="21"/>
        <v>103693.9629845072</v>
      </c>
      <c r="N28" s="237">
        <f t="shared" si="21"/>
        <v>103693.9629845072</v>
      </c>
      <c r="O28" s="237">
        <f t="shared" si="21"/>
        <v>103693.9629845072</v>
      </c>
      <c r="P28" s="237">
        <f t="shared" si="21"/>
        <v>103693.9629845072</v>
      </c>
      <c r="Q28" s="237">
        <f t="shared" si="21"/>
        <v>103693.9629845072</v>
      </c>
      <c r="R28" s="237">
        <f t="shared" si="21"/>
        <v>103693.9629845072</v>
      </c>
      <c r="S28" s="237">
        <f t="shared" si="21"/>
        <v>103693.9629845072</v>
      </c>
      <c r="T28" s="237">
        <f t="shared" si="21"/>
        <v>103486.5750585382</v>
      </c>
      <c r="U28" s="237">
        <f t="shared" si="21"/>
        <v>103279.60190842113</v>
      </c>
      <c r="V28" s="237">
        <f t="shared" si="21"/>
        <v>103073.04270460429</v>
      </c>
      <c r="W28" s="237">
        <f t="shared" si="21"/>
        <v>102866.89661919509</v>
      </c>
      <c r="X28" s="237">
        <f t="shared" si="21"/>
        <v>102661.16282595669</v>
      </c>
      <c r="Y28" s="237">
        <f t="shared" si="21"/>
        <v>102455.84050030478</v>
      </c>
      <c r="Z28" s="237">
        <f t="shared" si="21"/>
        <v>102250.92881930416</v>
      </c>
      <c r="AA28" s="237">
        <f t="shared" si="21"/>
        <v>102046.42696166555</v>
      </c>
      <c r="AB28" s="237">
        <f t="shared" si="21"/>
        <v>101842.33410774221</v>
      </c>
      <c r="AC28" s="237">
        <f t="shared" si="21"/>
        <v>101638.64943952674</v>
      </c>
      <c r="AD28" s="237">
        <f t="shared" si="21"/>
        <v>101435.37214064767</v>
      </c>
      <c r="AE28" s="237">
        <f t="shared" si="21"/>
        <v>101232.50139636637</v>
      </c>
      <c r="AF28" s="237">
        <f t="shared" si="21"/>
        <v>101030.03639357362</v>
      </c>
      <c r="AG28" s="237">
        <f t="shared" si="21"/>
        <v>100827.97632078649</v>
      </c>
      <c r="AH28" s="237">
        <f t="shared" ref="AH28:AL28" si="22">AH24+AH26</f>
        <v>201252.64073628985</v>
      </c>
      <c r="AI28" s="237">
        <f t="shared" si="22"/>
        <v>301275.20318222593</v>
      </c>
      <c r="AJ28" s="237">
        <f t="shared" si="22"/>
        <v>400896.87036781537</v>
      </c>
      <c r="AK28" s="237">
        <f t="shared" si="22"/>
        <v>500118.84578384954</v>
      </c>
      <c r="AL28" s="237">
        <f t="shared" si="22"/>
        <v>598942.32971073827</v>
      </c>
    </row>
    <row r="29" spans="2:38" x14ac:dyDescent="0.2">
      <c r="B29" s="232" t="s">
        <v>381</v>
      </c>
      <c r="C29" s="237">
        <f t="shared" si="10"/>
        <v>38335636.872389846</v>
      </c>
      <c r="D29" s="240">
        <f t="shared" ref="D29:AG29" si="23">D25</f>
        <v>0</v>
      </c>
      <c r="E29" s="240">
        <f t="shared" si="23"/>
        <v>0</v>
      </c>
      <c r="F29" s="240">
        <f t="shared" si="23"/>
        <v>0</v>
      </c>
      <c r="G29" s="240">
        <f t="shared" si="23"/>
        <v>831515.96295725717</v>
      </c>
      <c r="H29" s="240">
        <f t="shared" si="23"/>
        <v>831515.96295725717</v>
      </c>
      <c r="I29" s="240">
        <f t="shared" si="23"/>
        <v>831515.96295725717</v>
      </c>
      <c r="J29" s="240">
        <f t="shared" si="23"/>
        <v>831515.96295725717</v>
      </c>
      <c r="K29" s="240">
        <f t="shared" si="23"/>
        <v>831515.96295725717</v>
      </c>
      <c r="L29" s="240">
        <f t="shared" si="23"/>
        <v>831515.96295725717</v>
      </c>
      <c r="M29" s="240">
        <f t="shared" si="23"/>
        <v>831515.96295725717</v>
      </c>
      <c r="N29" s="240">
        <f t="shared" si="23"/>
        <v>831515.96295725717</v>
      </c>
      <c r="O29" s="240">
        <f t="shared" si="23"/>
        <v>831515.96295725717</v>
      </c>
      <c r="P29" s="240">
        <f t="shared" si="23"/>
        <v>831515.96295725717</v>
      </c>
      <c r="Q29" s="240">
        <f t="shared" si="23"/>
        <v>831515.96295725717</v>
      </c>
      <c r="R29" s="240">
        <f t="shared" si="23"/>
        <v>831515.96295725717</v>
      </c>
      <c r="S29" s="240">
        <f t="shared" si="23"/>
        <v>831515.96295725717</v>
      </c>
      <c r="T29" s="240">
        <f t="shared" si="23"/>
        <v>829852.9310313426</v>
      </c>
      <c r="U29" s="240">
        <f t="shared" si="23"/>
        <v>828193.22516928008</v>
      </c>
      <c r="V29" s="240">
        <f t="shared" si="23"/>
        <v>826536.83871894132</v>
      </c>
      <c r="W29" s="240">
        <f t="shared" si="23"/>
        <v>824883.76504150371</v>
      </c>
      <c r="X29" s="240">
        <f t="shared" si="23"/>
        <v>823233.99751142063</v>
      </c>
      <c r="Y29" s="240">
        <f t="shared" si="23"/>
        <v>821587.52951639774</v>
      </c>
      <c r="Z29" s="240">
        <f t="shared" si="23"/>
        <v>819944.35445736488</v>
      </c>
      <c r="AA29" s="240">
        <f t="shared" si="23"/>
        <v>818304.46574845002</v>
      </c>
      <c r="AB29" s="240">
        <f t="shared" si="23"/>
        <v>816667.85681695316</v>
      </c>
      <c r="AC29" s="240">
        <f t="shared" si="23"/>
        <v>815034.52110331936</v>
      </c>
      <c r="AD29" s="240">
        <f t="shared" si="23"/>
        <v>813404.45206111262</v>
      </c>
      <c r="AE29" s="240">
        <f t="shared" si="23"/>
        <v>811777.64315699041</v>
      </c>
      <c r="AF29" s="240">
        <f t="shared" si="23"/>
        <v>810154.0878706763</v>
      </c>
      <c r="AG29" s="240">
        <f t="shared" si="23"/>
        <v>808533.77969493496</v>
      </c>
      <c r="AH29" s="240">
        <f t="shared" ref="AH29:AL29" si="24">AH25</f>
        <v>1613833.4242710904</v>
      </c>
      <c r="AI29" s="240">
        <f t="shared" si="24"/>
        <v>2415908.6361338226</v>
      </c>
      <c r="AJ29" s="240">
        <f t="shared" si="24"/>
        <v>3214769.0918154069</v>
      </c>
      <c r="AK29" s="240">
        <f t="shared" si="24"/>
        <v>4010424.4420397193</v>
      </c>
      <c r="AL29" s="240">
        <f t="shared" si="24"/>
        <v>4802884.311786769</v>
      </c>
    </row>
    <row r="30" spans="2:38" x14ac:dyDescent="0.2"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</row>
    <row r="32" spans="2:38" x14ac:dyDescent="0.2">
      <c r="B32" s="234" t="s">
        <v>422</v>
      </c>
      <c r="C32" s="253" t="s">
        <v>9</v>
      </c>
    </row>
    <row r="33" spans="2:38" x14ac:dyDescent="0.2">
      <c r="B33" s="248" t="s">
        <v>108</v>
      </c>
      <c r="C33" s="237">
        <f>SUM(D33:AL33)</f>
        <v>3971751.3534372221</v>
      </c>
      <c r="D33" s="237">
        <f>D27*Parametre!$C$180</f>
        <v>0</v>
      </c>
      <c r="E33" s="237">
        <f>E27*Parametre!$C$180</f>
        <v>0</v>
      </c>
      <c r="F33" s="237">
        <f>F27*Parametre!$C$180</f>
        <v>0</v>
      </c>
      <c r="G33" s="237">
        <f>G27*Parametre!$C$180</f>
        <v>86148.944447528615</v>
      </c>
      <c r="H33" s="237">
        <f>H27*Parametre!$C$180</f>
        <v>86148.944447528615</v>
      </c>
      <c r="I33" s="237">
        <f>I27*Parametre!$C$180</f>
        <v>86148.944447528615</v>
      </c>
      <c r="J33" s="237">
        <f>J27*Parametre!$C$180</f>
        <v>86148.944447528615</v>
      </c>
      <c r="K33" s="237">
        <f>K27*Parametre!$C$180</f>
        <v>86148.944447528615</v>
      </c>
      <c r="L33" s="237">
        <f>L27*Parametre!$C$180</f>
        <v>86148.944447528615</v>
      </c>
      <c r="M33" s="237">
        <f>M27*Parametre!$C$180</f>
        <v>86148.944447528615</v>
      </c>
      <c r="N33" s="237">
        <f>N27*Parametre!$C$180</f>
        <v>86148.944447528615</v>
      </c>
      <c r="O33" s="237">
        <f>O27*Parametre!$C$180</f>
        <v>86148.944447528615</v>
      </c>
      <c r="P33" s="237">
        <f>P27*Parametre!$C$180</f>
        <v>86148.944447528615</v>
      </c>
      <c r="Q33" s="237">
        <f>Q27*Parametre!$C$180</f>
        <v>86148.944447528615</v>
      </c>
      <c r="R33" s="237">
        <f>R27*Parametre!$C$180</f>
        <v>86148.944447528615</v>
      </c>
      <c r="S33" s="237">
        <f>S27*Parametre!$C$180</f>
        <v>86148.944447528615</v>
      </c>
      <c r="T33" s="237">
        <f>T27*Parametre!$C$180</f>
        <v>85976.64655863354</v>
      </c>
      <c r="U33" s="237">
        <f>U27*Parametre!$C$180</f>
        <v>85804.693265516282</v>
      </c>
      <c r="V33" s="237">
        <f>V27*Parametre!$C$180</f>
        <v>85633.083878985257</v>
      </c>
      <c r="W33" s="237">
        <f>W27*Parametre!$C$180</f>
        <v>85461.817711227297</v>
      </c>
      <c r="X33" s="237">
        <f>X27*Parametre!$C$180</f>
        <v>85290.894075804841</v>
      </c>
      <c r="Y33" s="237">
        <f>Y27*Parametre!$C$180</f>
        <v>85120.312287653214</v>
      </c>
      <c r="Z33" s="237">
        <f>Z27*Parametre!$C$180</f>
        <v>84950.071663077892</v>
      </c>
      <c r="AA33" s="237">
        <f>AA27*Parametre!$C$180</f>
        <v>84780.171519751733</v>
      </c>
      <c r="AB33" s="237">
        <f>AB27*Parametre!$C$180</f>
        <v>84610.611176712235</v>
      </c>
      <c r="AC33" s="237">
        <f>AC27*Parametre!$C$180</f>
        <v>84441.389954358834</v>
      </c>
      <c r="AD33" s="237">
        <f>AD27*Parametre!$C$180</f>
        <v>84272.507174450089</v>
      </c>
      <c r="AE33" s="237">
        <f>AE27*Parametre!$C$180</f>
        <v>84103.962160101204</v>
      </c>
      <c r="AF33" s="237">
        <f>AF27*Parametre!$C$180</f>
        <v>83935.754235780987</v>
      </c>
      <c r="AG33" s="237">
        <f>AG27*Parametre!$C$180</f>
        <v>83767.882727309421</v>
      </c>
      <c r="AH33" s="237">
        <f>AH27*Parametre!$C$180</f>
        <v>167200.69392370962</v>
      </c>
      <c r="AI33" s="237">
        <f>AI27*Parametre!$C$180</f>
        <v>250299.43880379334</v>
      </c>
      <c r="AJ33" s="237">
        <f>AJ27*Parametre!$C$180</f>
        <v>333065.11990158109</v>
      </c>
      <c r="AK33" s="237">
        <f>AK27*Parametre!$C$180</f>
        <v>415498.73707722226</v>
      </c>
      <c r="AL33" s="237">
        <f>AL27*Parametre!$C$180</f>
        <v>497601.28752368136</v>
      </c>
    </row>
    <row r="34" spans="2:38" x14ac:dyDescent="0.2">
      <c r="B34" s="248" t="s">
        <v>109</v>
      </c>
      <c r="C34" s="237">
        <f>SUM(D34:AL34)</f>
        <v>3121754.4942158232</v>
      </c>
      <c r="D34" s="237">
        <f>D28*Parametre!$C$181</f>
        <v>0</v>
      </c>
      <c r="E34" s="237">
        <f>E28*Parametre!$C$181</f>
        <v>0</v>
      </c>
      <c r="F34" s="237">
        <f>F28*Parametre!$C$181</f>
        <v>0</v>
      </c>
      <c r="G34" s="237">
        <f>G28*Parametre!$C$181</f>
        <v>67712.15782888321</v>
      </c>
      <c r="H34" s="237">
        <f>H28*Parametre!$C$181</f>
        <v>67712.15782888321</v>
      </c>
      <c r="I34" s="237">
        <f>I28*Parametre!$C$181</f>
        <v>67712.15782888321</v>
      </c>
      <c r="J34" s="237">
        <f>J28*Parametre!$C$181</f>
        <v>67712.15782888321</v>
      </c>
      <c r="K34" s="237">
        <f>K28*Parametre!$C$181</f>
        <v>67712.15782888321</v>
      </c>
      <c r="L34" s="237">
        <f>L28*Parametre!$C$181</f>
        <v>67712.15782888321</v>
      </c>
      <c r="M34" s="237">
        <f>M28*Parametre!$C$181</f>
        <v>67712.15782888321</v>
      </c>
      <c r="N34" s="237">
        <f>N28*Parametre!$C$181</f>
        <v>67712.15782888321</v>
      </c>
      <c r="O34" s="237">
        <f>O28*Parametre!$C$181</f>
        <v>67712.15782888321</v>
      </c>
      <c r="P34" s="237">
        <f>P28*Parametre!$C$181</f>
        <v>67712.15782888321</v>
      </c>
      <c r="Q34" s="237">
        <f>Q28*Parametre!$C$181</f>
        <v>67712.15782888321</v>
      </c>
      <c r="R34" s="237">
        <f>R28*Parametre!$C$181</f>
        <v>67712.15782888321</v>
      </c>
      <c r="S34" s="237">
        <f>S28*Parametre!$C$181</f>
        <v>67712.15782888321</v>
      </c>
      <c r="T34" s="237">
        <f>T28*Parametre!$C$181</f>
        <v>67576.733513225452</v>
      </c>
      <c r="U34" s="237">
        <f>U28*Parametre!$C$181</f>
        <v>67441.580046199</v>
      </c>
      <c r="V34" s="237">
        <f>V28*Parametre!$C$181</f>
        <v>67306.696886106598</v>
      </c>
      <c r="W34" s="237">
        <f>W28*Parametre!$C$181</f>
        <v>67172.083492334394</v>
      </c>
      <c r="X34" s="237">
        <f>X28*Parametre!$C$181</f>
        <v>67037.739325349728</v>
      </c>
      <c r="Y34" s="237">
        <f>Y28*Parametre!$C$181</f>
        <v>66903.663846699026</v>
      </c>
      <c r="Z34" s="237">
        <f>Z28*Parametre!$C$181</f>
        <v>66769.856519005611</v>
      </c>
      <c r="AA34" s="237">
        <f>AA28*Parametre!$C$181</f>
        <v>66636.31680596761</v>
      </c>
      <c r="AB34" s="237">
        <f>AB28*Parametre!$C$181</f>
        <v>66503.044172355658</v>
      </c>
      <c r="AC34" s="237">
        <f>AC28*Parametre!$C$181</f>
        <v>66370.038084010957</v>
      </c>
      <c r="AD34" s="237">
        <f>AD28*Parametre!$C$181</f>
        <v>66237.298007842925</v>
      </c>
      <c r="AE34" s="237">
        <f>AE28*Parametre!$C$181</f>
        <v>66104.823411827238</v>
      </c>
      <c r="AF34" s="237">
        <f>AF28*Parametre!$C$181</f>
        <v>65972.613765003582</v>
      </c>
      <c r="AG34" s="237">
        <f>AG28*Parametre!$C$181</f>
        <v>65840.668537473583</v>
      </c>
      <c r="AH34" s="237">
        <f>AH28*Parametre!$C$181</f>
        <v>131417.97440079728</v>
      </c>
      <c r="AI34" s="237">
        <f>AI28*Parametre!$C$181</f>
        <v>196732.70767799355</v>
      </c>
      <c r="AJ34" s="237">
        <f>AJ28*Parametre!$C$181</f>
        <v>261785.65635018345</v>
      </c>
      <c r="AK34" s="237">
        <f>AK28*Parametre!$C$181</f>
        <v>326577.60629685374</v>
      </c>
      <c r="AL34" s="237">
        <f>AL28*Parametre!$C$181</f>
        <v>391109.34130111209</v>
      </c>
    </row>
    <row r="35" spans="2:38" x14ac:dyDescent="0.2">
      <c r="B35" s="232" t="s">
        <v>301</v>
      </c>
      <c r="C35" s="237">
        <f>SUM(D35:AL35)</f>
        <v>7743798.6482227473</v>
      </c>
      <c r="D35" s="249">
        <f>D29*Parametre!$C$182</f>
        <v>0</v>
      </c>
      <c r="E35" s="249">
        <f>E29*Parametre!$C$182</f>
        <v>0</v>
      </c>
      <c r="F35" s="249">
        <f>F29*Parametre!$C$182</f>
        <v>0</v>
      </c>
      <c r="G35" s="249">
        <f>G29*Parametre!$C$182</f>
        <v>167966.22451736595</v>
      </c>
      <c r="H35" s="249">
        <f>H29*Parametre!$C$182</f>
        <v>167966.22451736595</v>
      </c>
      <c r="I35" s="249">
        <f>I29*Parametre!$C$182</f>
        <v>167966.22451736595</v>
      </c>
      <c r="J35" s="249">
        <f>J29*Parametre!$C$182</f>
        <v>167966.22451736595</v>
      </c>
      <c r="K35" s="249">
        <f>K29*Parametre!$C$182</f>
        <v>167966.22451736595</v>
      </c>
      <c r="L35" s="249">
        <f>L29*Parametre!$C$182</f>
        <v>167966.22451736595</v>
      </c>
      <c r="M35" s="249">
        <f>M29*Parametre!$C$182</f>
        <v>167966.22451736595</v>
      </c>
      <c r="N35" s="249">
        <f>N29*Parametre!$C$182</f>
        <v>167966.22451736595</v>
      </c>
      <c r="O35" s="249">
        <f>O29*Parametre!$C$182</f>
        <v>167966.22451736595</v>
      </c>
      <c r="P35" s="249">
        <f>P29*Parametre!$C$182</f>
        <v>167966.22451736595</v>
      </c>
      <c r="Q35" s="249">
        <f>Q29*Parametre!$C$182</f>
        <v>167966.22451736595</v>
      </c>
      <c r="R35" s="249">
        <f>R29*Parametre!$C$182</f>
        <v>167966.22451736595</v>
      </c>
      <c r="S35" s="249">
        <f>S29*Parametre!$C$182</f>
        <v>167966.22451736595</v>
      </c>
      <c r="T35" s="249">
        <f>T29*Parametre!$C$182</f>
        <v>167630.29206833121</v>
      </c>
      <c r="U35" s="249">
        <f>U29*Parametre!$C$182</f>
        <v>167295.03148419459</v>
      </c>
      <c r="V35" s="249">
        <f>V29*Parametre!$C$182</f>
        <v>166960.44142122616</v>
      </c>
      <c r="W35" s="249">
        <f>W29*Parametre!$C$182</f>
        <v>166626.52053838375</v>
      </c>
      <c r="X35" s="249">
        <f>X29*Parametre!$C$182</f>
        <v>166293.26749730698</v>
      </c>
      <c r="Y35" s="249">
        <f>Y29*Parametre!$C$182</f>
        <v>165960.68096231236</v>
      </c>
      <c r="Z35" s="249">
        <f>Z29*Parametre!$C$182</f>
        <v>165628.75960038771</v>
      </c>
      <c r="AA35" s="249">
        <f>AA29*Parametre!$C$182</f>
        <v>165297.50208118692</v>
      </c>
      <c r="AB35" s="249">
        <f>AB29*Parametre!$C$182</f>
        <v>164966.90707702455</v>
      </c>
      <c r="AC35" s="249">
        <f>AC29*Parametre!$C$182</f>
        <v>164636.97326287051</v>
      </c>
      <c r="AD35" s="249">
        <f>AD29*Parametre!$C$182</f>
        <v>164307.69931634475</v>
      </c>
      <c r="AE35" s="249">
        <f>AE29*Parametre!$C$182</f>
        <v>163979.08391771207</v>
      </c>
      <c r="AF35" s="249">
        <f>AF29*Parametre!$C$182</f>
        <v>163651.12574987664</v>
      </c>
      <c r="AG35" s="249">
        <f>AG29*Parametre!$C$182</f>
        <v>163323.82349837688</v>
      </c>
      <c r="AH35" s="249">
        <f>AH29*Parametre!$C$182</f>
        <v>325994.35170276026</v>
      </c>
      <c r="AI35" s="249">
        <f>AI29*Parametre!$C$182</f>
        <v>488013.5444990322</v>
      </c>
      <c r="AJ35" s="249">
        <f>AJ29*Parametre!$C$182</f>
        <v>649383.35654671222</v>
      </c>
      <c r="AK35" s="249">
        <f>AK29*Parametre!$C$182</f>
        <v>810105.73729202338</v>
      </c>
      <c r="AL35" s="249">
        <f>AL29*Parametre!$C$182</f>
        <v>970182.63098092738</v>
      </c>
    </row>
    <row r="36" spans="2:38" x14ac:dyDescent="0.2">
      <c r="B36" s="250" t="s">
        <v>9</v>
      </c>
      <c r="C36" s="251">
        <f>SUM(D36:AL36)</f>
        <v>14837304.495875789</v>
      </c>
      <c r="D36" s="252">
        <f>SUM(D33:D35)</f>
        <v>0</v>
      </c>
      <c r="E36" s="252">
        <f>SUM(E33:E35)</f>
        <v>0</v>
      </c>
      <c r="F36" s="252">
        <f t="shared" ref="F36:AG36" si="25">SUM(F33:F35)</f>
        <v>0</v>
      </c>
      <c r="G36" s="252">
        <f t="shared" si="25"/>
        <v>321827.32679377776</v>
      </c>
      <c r="H36" s="252">
        <f t="shared" si="25"/>
        <v>321827.32679377776</v>
      </c>
      <c r="I36" s="252">
        <f t="shared" si="25"/>
        <v>321827.32679377776</v>
      </c>
      <c r="J36" s="252">
        <f t="shared" si="25"/>
        <v>321827.32679377776</v>
      </c>
      <c r="K36" s="252">
        <f t="shared" si="25"/>
        <v>321827.32679377776</v>
      </c>
      <c r="L36" s="252">
        <f t="shared" si="25"/>
        <v>321827.32679377776</v>
      </c>
      <c r="M36" s="252">
        <f t="shared" si="25"/>
        <v>321827.32679377776</v>
      </c>
      <c r="N36" s="252">
        <f t="shared" si="25"/>
        <v>321827.32679377776</v>
      </c>
      <c r="O36" s="252">
        <f t="shared" si="25"/>
        <v>321827.32679377776</v>
      </c>
      <c r="P36" s="252">
        <f t="shared" si="25"/>
        <v>321827.32679377776</v>
      </c>
      <c r="Q36" s="252">
        <f t="shared" si="25"/>
        <v>321827.32679377776</v>
      </c>
      <c r="R36" s="252">
        <f t="shared" si="25"/>
        <v>321827.32679377776</v>
      </c>
      <c r="S36" s="252">
        <f t="shared" si="25"/>
        <v>321827.32679377776</v>
      </c>
      <c r="T36" s="252">
        <f t="shared" si="25"/>
        <v>321183.6721401902</v>
      </c>
      <c r="U36" s="252">
        <f t="shared" si="25"/>
        <v>320541.30479590991</v>
      </c>
      <c r="V36" s="252">
        <f t="shared" si="25"/>
        <v>319900.22218631802</v>
      </c>
      <c r="W36" s="252">
        <f t="shared" si="25"/>
        <v>319260.42174194544</v>
      </c>
      <c r="X36" s="252">
        <f t="shared" si="25"/>
        <v>318621.90089846158</v>
      </c>
      <c r="Y36" s="252">
        <f t="shared" si="25"/>
        <v>317984.6570966646</v>
      </c>
      <c r="Z36" s="252">
        <f t="shared" si="25"/>
        <v>317348.68778247118</v>
      </c>
      <c r="AA36" s="252">
        <f t="shared" si="25"/>
        <v>316713.99040690623</v>
      </c>
      <c r="AB36" s="252">
        <f t="shared" si="25"/>
        <v>316080.56242609245</v>
      </c>
      <c r="AC36" s="252">
        <f t="shared" si="25"/>
        <v>315448.40130124032</v>
      </c>
      <c r="AD36" s="252">
        <f t="shared" si="25"/>
        <v>314817.50449863775</v>
      </c>
      <c r="AE36" s="252">
        <f t="shared" si="25"/>
        <v>314187.86948964046</v>
      </c>
      <c r="AF36" s="252">
        <f t="shared" si="25"/>
        <v>313559.4937506612</v>
      </c>
      <c r="AG36" s="252">
        <f t="shared" si="25"/>
        <v>312932.3747631599</v>
      </c>
      <c r="AH36" s="252">
        <f t="shared" ref="AH36:AL36" si="26">SUM(AH33:AH35)</f>
        <v>624613.02002726716</v>
      </c>
      <c r="AI36" s="252">
        <f t="shared" si="26"/>
        <v>935045.69098081905</v>
      </c>
      <c r="AJ36" s="252">
        <f t="shared" si="26"/>
        <v>1244234.1327984766</v>
      </c>
      <c r="AK36" s="252">
        <f t="shared" si="26"/>
        <v>1552182.0806660994</v>
      </c>
      <c r="AL36" s="252">
        <f t="shared" si="26"/>
        <v>1858893.2598057208</v>
      </c>
    </row>
    <row r="39" spans="2:38" x14ac:dyDescent="0.2">
      <c r="B39" s="232"/>
      <c r="C39" s="232"/>
      <c r="D39" s="232" t="s">
        <v>10</v>
      </c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</row>
    <row r="40" spans="2:38" x14ac:dyDescent="0.2">
      <c r="B40" s="234" t="s">
        <v>423</v>
      </c>
      <c r="C40" s="234"/>
      <c r="D40" s="239">
        <v>1</v>
      </c>
      <c r="E40" s="239">
        <v>2</v>
      </c>
      <c r="F40" s="239">
        <v>3</v>
      </c>
      <c r="G40" s="239">
        <v>4</v>
      </c>
      <c r="H40" s="239">
        <v>5</v>
      </c>
      <c r="I40" s="239">
        <v>6</v>
      </c>
      <c r="J40" s="239">
        <v>7</v>
      </c>
      <c r="K40" s="239">
        <v>8</v>
      </c>
      <c r="L40" s="239">
        <v>9</v>
      </c>
      <c r="M40" s="239">
        <v>10</v>
      </c>
      <c r="N40" s="239">
        <v>11</v>
      </c>
      <c r="O40" s="239">
        <v>12</v>
      </c>
      <c r="P40" s="239">
        <v>13</v>
      </c>
      <c r="Q40" s="239">
        <v>14</v>
      </c>
      <c r="R40" s="239">
        <v>15</v>
      </c>
      <c r="S40" s="239">
        <v>16</v>
      </c>
      <c r="T40" s="239">
        <v>17</v>
      </c>
      <c r="U40" s="239">
        <v>18</v>
      </c>
      <c r="V40" s="239">
        <v>19</v>
      </c>
      <c r="W40" s="239">
        <v>20</v>
      </c>
      <c r="X40" s="239">
        <v>21</v>
      </c>
      <c r="Y40" s="239">
        <v>22</v>
      </c>
      <c r="Z40" s="239">
        <v>23</v>
      </c>
      <c r="AA40" s="239">
        <v>24</v>
      </c>
      <c r="AB40" s="239">
        <v>25</v>
      </c>
      <c r="AC40" s="239">
        <v>26</v>
      </c>
      <c r="AD40" s="239">
        <v>27</v>
      </c>
      <c r="AE40" s="239">
        <v>28</v>
      </c>
      <c r="AF40" s="239">
        <v>29</v>
      </c>
      <c r="AG40" s="239">
        <v>30</v>
      </c>
      <c r="AH40" s="239">
        <v>31</v>
      </c>
      <c r="AI40" s="239">
        <v>32</v>
      </c>
      <c r="AJ40" s="239">
        <v>33</v>
      </c>
      <c r="AK40" s="239">
        <v>34</v>
      </c>
      <c r="AL40" s="239">
        <v>35</v>
      </c>
    </row>
    <row r="41" spans="2:38" x14ac:dyDescent="0.2">
      <c r="B41" s="235" t="s">
        <v>33</v>
      </c>
      <c r="C41" s="236" t="s">
        <v>9</v>
      </c>
      <c r="D41" s="241">
        <f t="shared" ref="D41:AG41" si="27">D4</f>
        <v>2025</v>
      </c>
      <c r="E41" s="241">
        <f t="shared" si="27"/>
        <v>2026</v>
      </c>
      <c r="F41" s="241">
        <f t="shared" si="27"/>
        <v>2027</v>
      </c>
      <c r="G41" s="241">
        <f t="shared" si="27"/>
        <v>2028</v>
      </c>
      <c r="H41" s="241">
        <f t="shared" si="27"/>
        <v>2029</v>
      </c>
      <c r="I41" s="241">
        <f t="shared" si="27"/>
        <v>2030</v>
      </c>
      <c r="J41" s="241">
        <f t="shared" si="27"/>
        <v>2031</v>
      </c>
      <c r="K41" s="241">
        <f t="shared" si="27"/>
        <v>2032</v>
      </c>
      <c r="L41" s="241">
        <f t="shared" si="27"/>
        <v>2033</v>
      </c>
      <c r="M41" s="241">
        <f t="shared" si="27"/>
        <v>2034</v>
      </c>
      <c r="N41" s="241">
        <f t="shared" si="27"/>
        <v>2035</v>
      </c>
      <c r="O41" s="241">
        <f t="shared" si="27"/>
        <v>2036</v>
      </c>
      <c r="P41" s="241">
        <f t="shared" si="27"/>
        <v>2037</v>
      </c>
      <c r="Q41" s="241">
        <f t="shared" si="27"/>
        <v>2038</v>
      </c>
      <c r="R41" s="241">
        <f t="shared" si="27"/>
        <v>2039</v>
      </c>
      <c r="S41" s="241">
        <f t="shared" si="27"/>
        <v>2040</v>
      </c>
      <c r="T41" s="241">
        <f t="shared" si="27"/>
        <v>2041</v>
      </c>
      <c r="U41" s="241">
        <f t="shared" si="27"/>
        <v>2042</v>
      </c>
      <c r="V41" s="241">
        <f t="shared" si="27"/>
        <v>2043</v>
      </c>
      <c r="W41" s="241">
        <f t="shared" si="27"/>
        <v>2044</v>
      </c>
      <c r="X41" s="241">
        <f t="shared" si="27"/>
        <v>2045</v>
      </c>
      <c r="Y41" s="241">
        <f t="shared" si="27"/>
        <v>2046</v>
      </c>
      <c r="Z41" s="241">
        <f t="shared" si="27"/>
        <v>2047</v>
      </c>
      <c r="AA41" s="241">
        <f t="shared" si="27"/>
        <v>2048</v>
      </c>
      <c r="AB41" s="241">
        <f t="shared" si="27"/>
        <v>2049</v>
      </c>
      <c r="AC41" s="241">
        <f t="shared" si="27"/>
        <v>2050</v>
      </c>
      <c r="AD41" s="241">
        <f t="shared" si="27"/>
        <v>2051</v>
      </c>
      <c r="AE41" s="241">
        <f t="shared" si="27"/>
        <v>2052</v>
      </c>
      <c r="AF41" s="241">
        <f t="shared" si="27"/>
        <v>2053</v>
      </c>
      <c r="AG41" s="241">
        <f t="shared" si="27"/>
        <v>2054</v>
      </c>
      <c r="AH41" s="241">
        <f t="shared" ref="AH41:AL41" si="28">AH4</f>
        <v>2055</v>
      </c>
      <c r="AI41" s="241">
        <f t="shared" si="28"/>
        <v>2056</v>
      </c>
      <c r="AJ41" s="241">
        <f t="shared" si="28"/>
        <v>2057</v>
      </c>
      <c r="AK41" s="241">
        <f t="shared" si="28"/>
        <v>2058</v>
      </c>
      <c r="AL41" s="241">
        <f t="shared" si="28"/>
        <v>2059</v>
      </c>
    </row>
    <row r="42" spans="2:38" x14ac:dyDescent="0.2">
      <c r="B42" s="232" t="s">
        <v>376</v>
      </c>
      <c r="C42" s="237">
        <f>SUM(D42:AL42)</f>
        <v>859212.48990732641</v>
      </c>
      <c r="D42" s="238">
        <f>Vstupy!C34/Vstupy!$B$13/Vstupy!$B$6*(Parametre!$C$173+Parametre!$D$173+Parametre!$E$173+Parametre!$F$173+Parametre!$G$173+Parametre!$H$173)*Parametre!$D$165*Vstupy!C47</f>
        <v>0</v>
      </c>
      <c r="E42" s="238">
        <f>Vstupy!D34/Vstupy!$B$13/Vstupy!$B$6*(Parametre!$C$173+Parametre!$D$173+Parametre!$E$173+Parametre!$F$173+Parametre!$G$173+Parametre!$H$173)*Parametre!$D$165*Vstupy!D47</f>
        <v>0</v>
      </c>
      <c r="F42" s="238">
        <f>Vstupy!E34/Vstupy!$B$13/Vstupy!$B$6*(Parametre!$C$173+Parametre!$D$173+Parametre!$E$173+Parametre!$F$173+Parametre!$G$173+Parametre!$H$173)*Parametre!$D$165*Vstupy!E47</f>
        <v>0</v>
      </c>
      <c r="G42" s="238">
        <f>Vstupy!F34/Vstupy!$B$13/Vstupy!$B$6*(Parametre!$C$173+Parametre!$D$173+Parametre!$E$173+Parametre!$F$173+Parametre!$G$173+Parametre!$H$173)*Parametre!$D$165*Vstupy!F47</f>
        <v>18636.677494322641</v>
      </c>
      <c r="H42" s="238">
        <f>Vstupy!G34/Vstupy!$B$13/Vstupy!$B$6*(Parametre!$C$173+Parametre!$D$173+Parametre!$E$173+Parametre!$F$173+Parametre!$G$173+Parametre!$H$173)*Parametre!$D$165*Vstupy!G47</f>
        <v>18636.677494322641</v>
      </c>
      <c r="I42" s="238">
        <f>Vstupy!H34/Vstupy!$B$13/Vstupy!$B$6*(Parametre!$C$173+Parametre!$D$173+Parametre!$E$173+Parametre!$F$173+Parametre!$G$173+Parametre!$H$173)*Parametre!$D$165*Vstupy!H47</f>
        <v>18636.677494322641</v>
      </c>
      <c r="J42" s="238">
        <f>Vstupy!I34/Vstupy!$B$13/Vstupy!$B$6*(Parametre!$C$173+Parametre!$D$173+Parametre!$E$173+Parametre!$F$173+Parametre!$G$173+Parametre!$H$173)*Parametre!$D$165*Vstupy!I47</f>
        <v>18636.677494322641</v>
      </c>
      <c r="K42" s="238">
        <f>Vstupy!J34/Vstupy!$B$13/Vstupy!$B$6*(Parametre!$C$173+Parametre!$D$173+Parametre!$E$173+Parametre!$F$173+Parametre!$G$173+Parametre!$H$173)*Parametre!$D$165*Vstupy!J47</f>
        <v>18636.677494322641</v>
      </c>
      <c r="L42" s="238">
        <f>Vstupy!K34/Vstupy!$B$13/Vstupy!$B$6*(Parametre!$C$173+Parametre!$D$173+Parametre!$E$173+Parametre!$F$173+Parametre!$G$173+Parametre!$H$173)*Parametre!$D$165*Vstupy!K47</f>
        <v>18636.677494322641</v>
      </c>
      <c r="M42" s="238">
        <f>Vstupy!L34/Vstupy!$B$13/Vstupy!$B$6*(Parametre!$C$173+Parametre!$D$173+Parametre!$E$173+Parametre!$F$173+Parametre!$G$173+Parametre!$H$173)*Parametre!$D$165*Vstupy!L47</f>
        <v>18636.677494322641</v>
      </c>
      <c r="N42" s="238">
        <f>Vstupy!M34/Vstupy!$B$13/Vstupy!$B$6*(Parametre!$C$173+Parametre!$D$173+Parametre!$E$173+Parametre!$F$173+Parametre!$G$173+Parametre!$H$173)*Parametre!$D$165*Vstupy!M47</f>
        <v>18636.677494322641</v>
      </c>
      <c r="O42" s="238">
        <f>Vstupy!N34/Vstupy!$B$13/Vstupy!$B$6*(Parametre!$C$173+Parametre!$D$173+Parametre!$E$173+Parametre!$F$173+Parametre!$G$173+Parametre!$H$173)*Parametre!$D$165*Vstupy!N47</f>
        <v>18636.677494322641</v>
      </c>
      <c r="P42" s="238">
        <f>Vstupy!O34/Vstupy!$B$13/Vstupy!$B$6*(Parametre!$C$173+Parametre!$D$173+Parametre!$E$173+Parametre!$F$173+Parametre!$G$173+Parametre!$H$173)*Parametre!$D$165*Vstupy!O47</f>
        <v>18636.677494322641</v>
      </c>
      <c r="Q42" s="238">
        <f>Vstupy!P34/Vstupy!$B$13/Vstupy!$B$6*(Parametre!$C$173+Parametre!$D$173+Parametre!$E$173+Parametre!$F$173+Parametre!$G$173+Parametre!$H$173)*Parametre!$D$165*Vstupy!P47</f>
        <v>18636.677494322641</v>
      </c>
      <c r="R42" s="238">
        <f>Vstupy!Q34/Vstupy!$B$13/Vstupy!$B$6*(Parametre!$C$173+Parametre!$D$173+Parametre!$E$173+Parametre!$F$173+Parametre!$G$173+Parametre!$H$173)*Parametre!$D$165*Vstupy!Q47</f>
        <v>18636.677494322641</v>
      </c>
      <c r="S42" s="238">
        <f>Vstupy!R34/Vstupy!$B$13/Vstupy!$B$6*(Parametre!$C$173+Parametre!$D$173+Parametre!$E$173+Parametre!$F$173+Parametre!$G$173+Parametre!$H$173)*Parametre!$D$165*Vstupy!R47</f>
        <v>18636.677494322641</v>
      </c>
      <c r="T42" s="238">
        <f>Vstupy!S34/Vstupy!$B$13/Vstupy!$B$6*(Parametre!$C$173+Parametre!$D$173+Parametre!$E$173+Parametre!$F$173+Parametre!$G$173+Parametre!$H$173)*Parametre!$D$165*Vstupy!S47</f>
        <v>18599.404139333994</v>
      </c>
      <c r="U42" s="238">
        <f>Vstupy!T34/Vstupy!$B$13/Vstupy!$B$6*(Parametre!$C$173+Parametre!$D$173+Parametre!$E$173+Parametre!$F$173+Parametre!$G$173+Parametre!$H$173)*Parametre!$D$165*Vstupy!T47</f>
        <v>18562.205331055331</v>
      </c>
      <c r="V42" s="238">
        <f>Vstupy!U34/Vstupy!$B$13/Vstupy!$B$6*(Parametre!$C$173+Parametre!$D$173+Parametre!$E$173+Parametre!$F$173+Parametre!$G$173+Parametre!$H$173)*Parametre!$D$165*Vstupy!U47</f>
        <v>18525.080920393219</v>
      </c>
      <c r="W42" s="238">
        <f>Vstupy!V34/Vstupy!$B$13/Vstupy!$B$6*(Parametre!$C$173+Parametre!$D$173+Parametre!$E$173+Parametre!$F$173+Parametre!$G$173+Parametre!$H$173)*Parametre!$D$165*Vstupy!V47</f>
        <v>18488.030758552432</v>
      </c>
      <c r="X42" s="238">
        <f>Vstupy!W34/Vstupy!$B$13/Vstupy!$B$6*(Parametre!$C$173+Parametre!$D$173+Parametre!$E$173+Parametre!$F$173+Parametre!$G$173+Parametre!$H$173)*Parametre!$D$165*Vstupy!W47</f>
        <v>18451.054697035328</v>
      </c>
      <c r="Y42" s="238">
        <f>Vstupy!X34/Vstupy!$B$13/Vstupy!$B$6*(Parametre!$C$173+Parametre!$D$173+Parametre!$E$173+Parametre!$F$173+Parametre!$G$173+Parametre!$H$173)*Parametre!$D$165*Vstupy!X47</f>
        <v>18414.15258764126</v>
      </c>
      <c r="Z42" s="238">
        <f>Vstupy!Y34/Vstupy!$B$13/Vstupy!$B$6*(Parametre!$C$173+Parametre!$D$173+Parametre!$E$173+Parametre!$F$173+Parametre!$G$173+Parametre!$H$173)*Parametre!$D$165*Vstupy!Y47</f>
        <v>18377.324282465972</v>
      </c>
      <c r="AA42" s="238">
        <f>Vstupy!Z34/Vstupy!$B$13/Vstupy!$B$6*(Parametre!$C$173+Parametre!$D$173+Parametre!$E$173+Parametre!$F$173+Parametre!$G$173+Parametre!$H$173)*Parametre!$D$165*Vstupy!Z47</f>
        <v>18340.569633901036</v>
      </c>
      <c r="AB42" s="238">
        <f>Vstupy!AA34/Vstupy!$B$13/Vstupy!$B$6*(Parametre!$C$173+Parametre!$D$173+Parametre!$E$173+Parametre!$F$173+Parametre!$G$173+Parametre!$H$173)*Parametre!$D$165*Vstupy!AA47</f>
        <v>18303.888494633236</v>
      </c>
      <c r="AC42" s="238">
        <f>Vstupy!AB34/Vstupy!$B$13/Vstupy!$B$6*(Parametre!$C$173+Parametre!$D$173+Parametre!$E$173+Parametre!$F$173+Parametre!$G$173+Parametre!$H$173)*Parametre!$D$165*Vstupy!AB47</f>
        <v>18267.280717643971</v>
      </c>
      <c r="AD42" s="238">
        <f>Vstupy!AC34/Vstupy!$B$13/Vstupy!$B$6*(Parametre!$C$173+Parametre!$D$173+Parametre!$E$173+Parametre!$F$173+Parametre!$G$173+Parametre!$H$173)*Parametre!$D$165*Vstupy!AC47</f>
        <v>18230.746156208683</v>
      </c>
      <c r="AE42" s="238">
        <f>Vstupy!AD34/Vstupy!$B$13/Vstupy!$B$6*(Parametre!$C$173+Parametre!$D$173+Parametre!$E$173+Parametre!$F$173+Parametre!$G$173+Parametre!$H$173)*Parametre!$D$165*Vstupy!AD47</f>
        <v>18194.284663896269</v>
      </c>
      <c r="AF42" s="238">
        <f>Vstupy!AE34/Vstupy!$B$13/Vstupy!$B$6*(Parametre!$C$173+Parametre!$D$173+Parametre!$E$173+Parametre!$F$173+Parametre!$G$173+Parametre!$H$173)*Parametre!$D$165*Vstupy!AE47</f>
        <v>18157.89609456847</v>
      </c>
      <c r="AG42" s="238">
        <f>Vstupy!AF34/Vstupy!$B$13/Vstupy!$B$6*(Parametre!$C$173+Parametre!$D$173+Parametre!$E$173+Parametre!$F$173+Parametre!$G$173+Parametre!$H$173)*Parametre!$D$165*Vstupy!AF47</f>
        <v>18121.580302379334</v>
      </c>
      <c r="AH42" s="238">
        <f>Vstupy!AG34/Vstupy!$B$13/Vstupy!$B$6*(Parametre!$C$173+Parametre!$D$173+Parametre!$E$173+Parametre!$F$173+Parametre!$G$173+Parametre!$H$173)*Parametre!$D$165*Vstupy!AG47</f>
        <v>36170.674283549153</v>
      </c>
      <c r="AI42" s="238">
        <f>Vstupy!AH34/Vstupy!$B$13/Vstupy!$B$6*(Parametre!$C$173+Parametre!$D$173+Parametre!$E$173+Parametre!$F$173+Parametre!$G$173+Parametre!$H$173)*Parametre!$D$165*Vstupy!AH47</f>
        <v>54147.499402473084</v>
      </c>
      <c r="AJ42" s="238">
        <f>Vstupy!AI34/Vstupy!$B$13/Vstupy!$B$6*(Parametre!$C$173+Parametre!$D$173+Parametre!$E$173+Parametre!$F$173+Parametre!$G$173+Parametre!$H$173)*Parametre!$D$165*Vstupy!AI47</f>
        <v>72052.272538224206</v>
      </c>
      <c r="AK42" s="238">
        <f>Vstupy!AJ34/Vstupy!$B$13/Vstupy!$B$6*(Parametre!$C$173+Parametre!$D$173+Parametre!$E$173+Parametre!$F$173+Parametre!$G$173+Parametre!$H$173)*Parametre!$D$165*Vstupy!AJ47</f>
        <v>89885.209991434662</v>
      </c>
      <c r="AL42" s="238">
        <f>Vstupy!AK34/Vstupy!$B$13/Vstupy!$B$6*(Parametre!$C$173+Parametre!$D$173+Parametre!$E$173+Parametre!$F$173+Parametre!$G$173+Parametre!$H$173)*Parametre!$D$165*Vstupy!AK47</f>
        <v>107646.52748574218</v>
      </c>
    </row>
    <row r="43" spans="2:38" x14ac:dyDescent="0.2">
      <c r="B43" s="232" t="s">
        <v>377</v>
      </c>
      <c r="C43" s="237">
        <f>SUM(D43:AL43)</f>
        <v>641359.85859333887</v>
      </c>
      <c r="D43" s="238">
        <f>Vstupy!C34/Vstupy!$B$13/Vstupy!$B$6*(Parametre!$C$174+Parametre!$D$174+Parametre!$E$174+Parametre!$F$174+Parametre!$G$174+Parametre!$H$174)*Parametre!$D$166*Vstupy!C47</f>
        <v>0</v>
      </c>
      <c r="E43" s="238">
        <f>Vstupy!D34/Vstupy!$B$13/Vstupy!$B$6*(Parametre!$C$174+Parametre!$D$174+Parametre!$E$174+Parametre!$F$174+Parametre!$G$174+Parametre!$H$174)*Parametre!$D$166*Vstupy!D47</f>
        <v>0</v>
      </c>
      <c r="F43" s="238">
        <f>Vstupy!E34/Vstupy!$B$13/Vstupy!$B$6*(Parametre!$C$174+Parametre!$D$174+Parametre!$E$174+Parametre!$F$174+Parametre!$G$174+Parametre!$H$174)*Parametre!$D$166*Vstupy!E47</f>
        <v>0</v>
      </c>
      <c r="G43" s="238">
        <f>Vstupy!F34/Vstupy!$B$13/Vstupy!$B$6*(Parametre!$C$174+Parametre!$D$174+Parametre!$E$174+Parametre!$F$174+Parametre!$G$174+Parametre!$H$174)*Parametre!$D$166*Vstupy!F47</f>
        <v>13911.363001366111</v>
      </c>
      <c r="H43" s="238">
        <f>Vstupy!G34/Vstupy!$B$13/Vstupy!$B$6*(Parametre!$C$174+Parametre!$D$174+Parametre!$E$174+Parametre!$F$174+Parametre!$G$174+Parametre!$H$174)*Parametre!$D$166*Vstupy!G47</f>
        <v>13911.363001366111</v>
      </c>
      <c r="I43" s="238">
        <f>Vstupy!H34/Vstupy!$B$13/Vstupy!$B$6*(Parametre!$C$174+Parametre!$D$174+Parametre!$E$174+Parametre!$F$174+Parametre!$G$174+Parametre!$H$174)*Parametre!$D$166*Vstupy!H47</f>
        <v>13911.363001366111</v>
      </c>
      <c r="J43" s="238">
        <f>Vstupy!I34/Vstupy!$B$13/Vstupy!$B$6*(Parametre!$C$174+Parametre!$D$174+Parametre!$E$174+Parametre!$F$174+Parametre!$G$174+Parametre!$H$174)*Parametre!$D$166*Vstupy!I47</f>
        <v>13911.363001366111</v>
      </c>
      <c r="K43" s="238">
        <f>Vstupy!J34/Vstupy!$B$13/Vstupy!$B$6*(Parametre!$C$174+Parametre!$D$174+Parametre!$E$174+Parametre!$F$174+Parametre!$G$174+Parametre!$H$174)*Parametre!$D$166*Vstupy!J47</f>
        <v>13911.363001366111</v>
      </c>
      <c r="L43" s="238">
        <f>Vstupy!K34/Vstupy!$B$13/Vstupy!$B$6*(Parametre!$C$174+Parametre!$D$174+Parametre!$E$174+Parametre!$F$174+Parametre!$G$174+Parametre!$H$174)*Parametre!$D$166*Vstupy!K47</f>
        <v>13911.363001366111</v>
      </c>
      <c r="M43" s="238">
        <f>Vstupy!L34/Vstupy!$B$13/Vstupy!$B$6*(Parametre!$C$174+Parametre!$D$174+Parametre!$E$174+Parametre!$F$174+Parametre!$G$174+Parametre!$H$174)*Parametre!$D$166*Vstupy!L47</f>
        <v>13911.363001366111</v>
      </c>
      <c r="N43" s="238">
        <f>Vstupy!M34/Vstupy!$B$13/Vstupy!$B$6*(Parametre!$C$174+Parametre!$D$174+Parametre!$E$174+Parametre!$F$174+Parametre!$G$174+Parametre!$H$174)*Parametre!$D$166*Vstupy!M47</f>
        <v>13911.363001366111</v>
      </c>
      <c r="O43" s="238">
        <f>Vstupy!N34/Vstupy!$B$13/Vstupy!$B$6*(Parametre!$C$174+Parametre!$D$174+Parametre!$E$174+Parametre!$F$174+Parametre!$G$174+Parametre!$H$174)*Parametre!$D$166*Vstupy!N47</f>
        <v>13911.363001366111</v>
      </c>
      <c r="P43" s="238">
        <f>Vstupy!O34/Vstupy!$B$13/Vstupy!$B$6*(Parametre!$C$174+Parametre!$D$174+Parametre!$E$174+Parametre!$F$174+Parametre!$G$174+Parametre!$H$174)*Parametre!$D$166*Vstupy!O47</f>
        <v>13911.363001366111</v>
      </c>
      <c r="Q43" s="238">
        <f>Vstupy!P34/Vstupy!$B$13/Vstupy!$B$6*(Parametre!$C$174+Parametre!$D$174+Parametre!$E$174+Parametre!$F$174+Parametre!$G$174+Parametre!$H$174)*Parametre!$D$166*Vstupy!P47</f>
        <v>13911.363001366111</v>
      </c>
      <c r="R43" s="238">
        <f>Vstupy!Q34/Vstupy!$B$13/Vstupy!$B$6*(Parametre!$C$174+Parametre!$D$174+Parametre!$E$174+Parametre!$F$174+Parametre!$G$174+Parametre!$H$174)*Parametre!$D$166*Vstupy!Q47</f>
        <v>13911.363001366111</v>
      </c>
      <c r="S43" s="238">
        <f>Vstupy!R34/Vstupy!$B$13/Vstupy!$B$6*(Parametre!$C$174+Parametre!$D$174+Parametre!$E$174+Parametre!$F$174+Parametre!$G$174+Parametre!$H$174)*Parametre!$D$166*Vstupy!R47</f>
        <v>13911.363001366111</v>
      </c>
      <c r="T43" s="238">
        <f>Vstupy!S34/Vstupy!$B$13/Vstupy!$B$6*(Parametre!$C$174+Parametre!$D$174+Parametre!$E$174+Parametre!$F$174+Parametre!$G$174+Parametre!$H$174)*Parametre!$D$166*Vstupy!S47</f>
        <v>13883.540275363379</v>
      </c>
      <c r="U43" s="238">
        <f>Vstupy!T34/Vstupy!$B$13/Vstupy!$B$6*(Parametre!$C$174+Parametre!$D$174+Parametre!$E$174+Parametre!$F$174+Parametre!$G$174+Parametre!$H$174)*Parametre!$D$166*Vstupy!T47</f>
        <v>13855.773194812655</v>
      </c>
      <c r="V43" s="238">
        <f>Vstupy!U34/Vstupy!$B$13/Vstupy!$B$6*(Parametre!$C$174+Parametre!$D$174+Parametre!$E$174+Parametre!$F$174+Parametre!$G$174+Parametre!$H$174)*Parametre!$D$166*Vstupy!U47</f>
        <v>13828.061648423029</v>
      </c>
      <c r="W43" s="238">
        <f>Vstupy!V34/Vstupy!$B$13/Vstupy!$B$6*(Parametre!$C$174+Parametre!$D$174+Parametre!$E$174+Parametre!$F$174+Parametre!$G$174+Parametre!$H$174)*Parametre!$D$166*Vstupy!V47</f>
        <v>13800.405525126183</v>
      </c>
      <c r="X43" s="238">
        <f>Vstupy!W34/Vstupy!$B$13/Vstupy!$B$6*(Parametre!$C$174+Parametre!$D$174+Parametre!$E$174+Parametre!$F$174+Parametre!$G$174+Parametre!$H$174)*Parametre!$D$166*Vstupy!W47</f>
        <v>13772.80471407593</v>
      </c>
      <c r="Y43" s="238">
        <f>Vstupy!X34/Vstupy!$B$13/Vstupy!$B$6*(Parametre!$C$174+Parametre!$D$174+Parametre!$E$174+Parametre!$F$174+Parametre!$G$174+Parametre!$H$174)*Parametre!$D$166*Vstupy!X47</f>
        <v>13745.259104647779</v>
      </c>
      <c r="Z43" s="238">
        <f>Vstupy!Y34/Vstupy!$B$13/Vstupy!$B$6*(Parametre!$C$174+Parametre!$D$174+Parametre!$E$174+Parametre!$F$174+Parametre!$G$174+Parametre!$H$174)*Parametre!$D$166*Vstupy!Y47</f>
        <v>13717.768586438482</v>
      </c>
      <c r="AA43" s="238">
        <f>Vstupy!Z34/Vstupy!$B$13/Vstupy!$B$6*(Parametre!$C$174+Parametre!$D$174+Parametre!$E$174+Parametre!$F$174+Parametre!$G$174+Parametre!$H$174)*Parametre!$D$166*Vstupy!Z47</f>
        <v>13690.333049265602</v>
      </c>
      <c r="AB43" s="238">
        <f>Vstupy!AA34/Vstupy!$B$13/Vstupy!$B$6*(Parametre!$C$174+Parametre!$D$174+Parametre!$E$174+Parametre!$F$174+Parametre!$G$174+Parametre!$H$174)*Parametre!$D$166*Vstupy!AA47</f>
        <v>13662.952383167074</v>
      </c>
      <c r="AC43" s="238">
        <f>Vstupy!AB34/Vstupy!$B$13/Vstupy!$B$6*(Parametre!$C$174+Parametre!$D$174+Parametre!$E$174+Parametre!$F$174+Parametre!$G$174+Parametre!$H$174)*Parametre!$D$166*Vstupy!AB47</f>
        <v>13635.62647840074</v>
      </c>
      <c r="AD43" s="238">
        <f>Vstupy!AC34/Vstupy!$B$13/Vstupy!$B$6*(Parametre!$C$174+Parametre!$D$174+Parametre!$E$174+Parametre!$F$174+Parametre!$G$174+Parametre!$H$174)*Parametre!$D$166*Vstupy!AC47</f>
        <v>13608.355225443938</v>
      </c>
      <c r="AE43" s="238">
        <f>Vstupy!AD34/Vstupy!$B$13/Vstupy!$B$6*(Parametre!$C$174+Parametre!$D$174+Parametre!$E$174+Parametre!$F$174+Parametre!$G$174+Parametre!$H$174)*Parametre!$D$166*Vstupy!AD47</f>
        <v>13581.13851499305</v>
      </c>
      <c r="AF43" s="238">
        <f>Vstupy!AE34/Vstupy!$B$13/Vstupy!$B$6*(Parametre!$C$174+Parametre!$D$174+Parametre!$E$174+Parametre!$F$174+Parametre!$G$174+Parametre!$H$174)*Parametre!$D$166*Vstupy!AE47</f>
        <v>13553.976237963061</v>
      </c>
      <c r="AG43" s="238">
        <f>Vstupy!AF34/Vstupy!$B$13/Vstupy!$B$6*(Parametre!$C$174+Parametre!$D$174+Parametre!$E$174+Parametre!$F$174+Parametre!$G$174+Parametre!$H$174)*Parametre!$D$166*Vstupy!AF47</f>
        <v>13526.868285487137</v>
      </c>
      <c r="AH43" s="238">
        <f>Vstupy!AG34/Vstupy!$B$13/Vstupy!$B$6*(Parametre!$C$174+Parametre!$D$174+Parametre!$E$174+Parametre!$F$174+Parametre!$G$174+Parametre!$H$174)*Parametre!$D$166*Vstupy!AG47</f>
        <v>26999.629097832327</v>
      </c>
      <c r="AI43" s="238">
        <f>Vstupy!AH34/Vstupy!$B$13/Vstupy!$B$6*(Parametre!$C$174+Parametre!$D$174+Parametre!$E$174+Parametre!$F$174+Parametre!$G$174+Parametre!$H$174)*Parametre!$D$166*Vstupy!AH47</f>
        <v>40418.444759454986</v>
      </c>
      <c r="AJ43" s="238">
        <f>Vstupy!AI34/Vstupy!$B$13/Vstupy!$B$6*(Parametre!$C$174+Parametre!$D$174+Parametre!$E$174+Parametre!$F$174+Parametre!$G$174+Parametre!$H$174)*Parametre!$D$166*Vstupy!AI47</f>
        <v>53783.477159914786</v>
      </c>
      <c r="AK43" s="238">
        <f>Vstupy!AJ34/Vstupy!$B$13/Vstupy!$B$6*(Parametre!$C$174+Parametre!$D$174+Parametre!$E$174+Parametre!$F$174+Parametre!$G$174+Parametre!$H$174)*Parametre!$D$166*Vstupy!AJ47</f>
        <v>67094.887756993689</v>
      </c>
      <c r="AL43" s="238">
        <f>Vstupy!AK34/Vstupy!$B$13/Vstupy!$B$6*(Parametre!$C$174+Parametre!$D$174+Parametre!$E$174+Parametre!$F$174+Parametre!$G$174+Parametre!$H$174)*Parametre!$D$166*Vstupy!AK47</f>
        <v>80352.83757777563</v>
      </c>
    </row>
    <row r="44" spans="2:38" x14ac:dyDescent="0.2">
      <c r="B44" s="232" t="s">
        <v>378</v>
      </c>
      <c r="C44" s="237">
        <f>SUM(D44:AL44)</f>
        <v>41307.086360118767</v>
      </c>
      <c r="D44" s="238">
        <f>Vstupy!C34/Vstupy!$B$13/Vstupy!$B$6*(Parametre!$C$175+Parametre!$D$175+Parametre!$E$175+Parametre!$F$175+Parametre!$G$175+Parametre!$H$175)*Parametre!$D$167*Vstupy!C47</f>
        <v>0</v>
      </c>
      <c r="E44" s="238">
        <f>Vstupy!D34/Vstupy!$B$13/Vstupy!$B$6*(Parametre!$C$175+Parametre!$D$175+Parametre!$E$175+Parametre!$F$175+Parametre!$G$175+Parametre!$H$175)*Parametre!$D$167*Vstupy!D47</f>
        <v>0</v>
      </c>
      <c r="F44" s="238">
        <f>Vstupy!E34/Vstupy!$B$13/Vstupy!$B$6*(Parametre!$C$175+Parametre!$D$175+Parametre!$E$175+Parametre!$F$175+Parametre!$G$175+Parametre!$H$175)*Parametre!$D$167*Vstupy!E47</f>
        <v>0</v>
      </c>
      <c r="G44" s="238">
        <f>Vstupy!F34/Vstupy!$B$13/Vstupy!$B$6*(Parametre!$C$175+Parametre!$D$175+Parametre!$E$175+Parametre!$F$175+Parametre!$G$175+Parametre!$H$175)*Parametre!$D$167*Vstupy!F47</f>
        <v>895.96794246636227</v>
      </c>
      <c r="H44" s="238">
        <f>Vstupy!G34/Vstupy!$B$13/Vstupy!$B$6*(Parametre!$C$175+Parametre!$D$175+Parametre!$E$175+Parametre!$F$175+Parametre!$G$175+Parametre!$H$175)*Parametre!$D$167*Vstupy!G47</f>
        <v>895.96794246636227</v>
      </c>
      <c r="I44" s="238">
        <f>Vstupy!H34/Vstupy!$B$13/Vstupy!$B$6*(Parametre!$C$175+Parametre!$D$175+Parametre!$E$175+Parametre!$F$175+Parametre!$G$175+Parametre!$H$175)*Parametre!$D$167*Vstupy!H47</f>
        <v>895.96794246636227</v>
      </c>
      <c r="J44" s="238">
        <f>Vstupy!I34/Vstupy!$B$13/Vstupy!$B$6*(Parametre!$C$175+Parametre!$D$175+Parametre!$E$175+Parametre!$F$175+Parametre!$G$175+Parametre!$H$175)*Parametre!$D$167*Vstupy!I47</f>
        <v>895.96794246636227</v>
      </c>
      <c r="K44" s="238">
        <f>Vstupy!J34/Vstupy!$B$13/Vstupy!$B$6*(Parametre!$C$175+Parametre!$D$175+Parametre!$E$175+Parametre!$F$175+Parametre!$G$175+Parametre!$H$175)*Parametre!$D$167*Vstupy!J47</f>
        <v>895.96794246636227</v>
      </c>
      <c r="L44" s="238">
        <f>Vstupy!K34/Vstupy!$B$13/Vstupy!$B$6*(Parametre!$C$175+Parametre!$D$175+Parametre!$E$175+Parametre!$F$175+Parametre!$G$175+Parametre!$H$175)*Parametre!$D$167*Vstupy!K47</f>
        <v>895.96794246636227</v>
      </c>
      <c r="M44" s="238">
        <f>Vstupy!L34/Vstupy!$B$13/Vstupy!$B$6*(Parametre!$C$175+Parametre!$D$175+Parametre!$E$175+Parametre!$F$175+Parametre!$G$175+Parametre!$H$175)*Parametre!$D$167*Vstupy!L47</f>
        <v>895.96794246636227</v>
      </c>
      <c r="N44" s="238">
        <f>Vstupy!M34/Vstupy!$B$13/Vstupy!$B$6*(Parametre!$C$175+Parametre!$D$175+Parametre!$E$175+Parametre!$F$175+Parametre!$G$175+Parametre!$H$175)*Parametre!$D$167*Vstupy!M47</f>
        <v>895.96794246636227</v>
      </c>
      <c r="O44" s="238">
        <f>Vstupy!N34/Vstupy!$B$13/Vstupy!$B$6*(Parametre!$C$175+Parametre!$D$175+Parametre!$E$175+Parametre!$F$175+Parametre!$G$175+Parametre!$H$175)*Parametre!$D$167*Vstupy!N47</f>
        <v>895.96794246636227</v>
      </c>
      <c r="P44" s="238">
        <f>Vstupy!O34/Vstupy!$B$13/Vstupy!$B$6*(Parametre!$C$175+Parametre!$D$175+Parametre!$E$175+Parametre!$F$175+Parametre!$G$175+Parametre!$H$175)*Parametre!$D$167*Vstupy!O47</f>
        <v>895.96794246636227</v>
      </c>
      <c r="Q44" s="238">
        <f>Vstupy!P34/Vstupy!$B$13/Vstupy!$B$6*(Parametre!$C$175+Parametre!$D$175+Parametre!$E$175+Parametre!$F$175+Parametre!$G$175+Parametre!$H$175)*Parametre!$D$167*Vstupy!P47</f>
        <v>895.96794246636227</v>
      </c>
      <c r="R44" s="238">
        <f>Vstupy!Q34/Vstupy!$B$13/Vstupy!$B$6*(Parametre!$C$175+Parametre!$D$175+Parametre!$E$175+Parametre!$F$175+Parametre!$G$175+Parametre!$H$175)*Parametre!$D$167*Vstupy!Q47</f>
        <v>895.96794246636227</v>
      </c>
      <c r="S44" s="238">
        <f>Vstupy!R34/Vstupy!$B$13/Vstupy!$B$6*(Parametre!$C$175+Parametre!$D$175+Parametre!$E$175+Parametre!$F$175+Parametre!$G$175+Parametre!$H$175)*Parametre!$D$167*Vstupy!R47</f>
        <v>895.96794246636227</v>
      </c>
      <c r="T44" s="238">
        <f>Vstupy!S34/Vstupy!$B$13/Vstupy!$B$6*(Parametre!$C$175+Parametre!$D$175+Parametre!$E$175+Parametre!$F$175+Parametre!$G$175+Parametre!$H$175)*Parametre!$D$167*Vstupy!S47</f>
        <v>894.17600658142965</v>
      </c>
      <c r="U44" s="238">
        <f>Vstupy!T34/Vstupy!$B$13/Vstupy!$B$6*(Parametre!$C$175+Parametre!$D$175+Parametre!$E$175+Parametre!$F$175+Parametre!$G$175+Parametre!$H$175)*Parametre!$D$167*Vstupy!T47</f>
        <v>892.38765456826684</v>
      </c>
      <c r="V44" s="238">
        <f>Vstupy!U34/Vstupy!$B$13/Vstupy!$B$6*(Parametre!$C$175+Parametre!$D$175+Parametre!$E$175+Parametre!$F$175+Parametre!$G$175+Parametre!$H$175)*Parametre!$D$167*Vstupy!U47</f>
        <v>890.60287925913019</v>
      </c>
      <c r="W44" s="238">
        <f>Vstupy!V34/Vstupy!$B$13/Vstupy!$B$6*(Parametre!$C$175+Parametre!$D$175+Parametre!$E$175+Parametre!$F$175+Parametre!$G$175+Parametre!$H$175)*Parametre!$D$167*Vstupy!V47</f>
        <v>888.82167350061206</v>
      </c>
      <c r="X44" s="238">
        <f>Vstupy!W34/Vstupy!$B$13/Vstupy!$B$6*(Parametre!$C$175+Parametre!$D$175+Parametre!$E$175+Parametre!$F$175+Parametre!$G$175+Parametre!$H$175)*Parametre!$D$167*Vstupy!W47</f>
        <v>887.04403015361083</v>
      </c>
      <c r="Y44" s="238">
        <f>Vstupy!X34/Vstupy!$B$13/Vstupy!$B$6*(Parametre!$C$175+Parametre!$D$175+Parametre!$E$175+Parametre!$F$175+Parametre!$G$175+Parametre!$H$175)*Parametre!$D$167*Vstupy!X47</f>
        <v>885.2699420933036</v>
      </c>
      <c r="Z44" s="238">
        <f>Vstupy!Y34/Vstupy!$B$13/Vstupy!$B$6*(Parametre!$C$175+Parametre!$D$175+Parametre!$E$175+Parametre!$F$175+Parametre!$G$175+Parametre!$H$175)*Parametre!$D$167*Vstupy!Y47</f>
        <v>883.49940220911685</v>
      </c>
      <c r="AA44" s="238">
        <f>Vstupy!Z34/Vstupy!$B$13/Vstupy!$B$6*(Parametre!$C$175+Parametre!$D$175+Parametre!$E$175+Parametre!$F$175+Parametre!$G$175+Parametre!$H$175)*Parametre!$D$167*Vstupy!Z47</f>
        <v>881.73240340469863</v>
      </c>
      <c r="AB44" s="238">
        <f>Vstupy!AA34/Vstupy!$B$13/Vstupy!$B$6*(Parametre!$C$175+Parametre!$D$175+Parametre!$E$175+Parametre!$F$175+Parametre!$G$175+Parametre!$H$175)*Parametre!$D$167*Vstupy!AA47</f>
        <v>879.96893859788918</v>
      </c>
      <c r="AC44" s="238">
        <f>Vstupy!AB34/Vstupy!$B$13/Vstupy!$B$6*(Parametre!$C$175+Parametre!$D$175+Parametre!$E$175+Parametre!$F$175+Parametre!$G$175+Parametre!$H$175)*Parametre!$D$167*Vstupy!AB47</f>
        <v>878.20900072069344</v>
      </c>
      <c r="AD44" s="238">
        <f>Vstupy!AC34/Vstupy!$B$13/Vstupy!$B$6*(Parametre!$C$175+Parametre!$D$175+Parametre!$E$175+Parametre!$F$175+Parametre!$G$175+Parametre!$H$175)*Parametre!$D$167*Vstupy!AC47</f>
        <v>876.45258271925218</v>
      </c>
      <c r="AE44" s="238">
        <f>Vstupy!AD34/Vstupy!$B$13/Vstupy!$B$6*(Parametre!$C$175+Parametre!$D$175+Parametre!$E$175+Parametre!$F$175+Parametre!$G$175+Parametre!$H$175)*Parametre!$D$167*Vstupy!AD47</f>
        <v>874.69967755381344</v>
      </c>
      <c r="AF44" s="238">
        <f>Vstupy!AE34/Vstupy!$B$13/Vstupy!$B$6*(Parametre!$C$175+Parametre!$D$175+Parametre!$E$175+Parametre!$F$175+Parametre!$G$175+Parametre!$H$175)*Parametre!$D$167*Vstupy!AE47</f>
        <v>872.95027819870575</v>
      </c>
      <c r="AG44" s="238">
        <f>Vstupy!AF34/Vstupy!$B$13/Vstupy!$B$6*(Parametre!$C$175+Parametre!$D$175+Parametre!$E$175+Parametre!$F$175+Parametre!$G$175+Parametre!$H$175)*Parametre!$D$167*Vstupy!AF47</f>
        <v>871.20437764230837</v>
      </c>
      <c r="AH44" s="238">
        <f>Vstupy!AG34/Vstupy!$B$13/Vstupy!$B$6*(Parametre!$C$175+Parametre!$D$175+Parametre!$E$175+Parametre!$F$175+Parametre!$G$175+Parametre!$H$175)*Parametre!$D$167*Vstupy!AG47</f>
        <v>1738.9239377740475</v>
      </c>
      <c r="AI44" s="238">
        <f>Vstupy!AH34/Vstupy!$B$13/Vstupy!$B$6*(Parametre!$C$175+Parametre!$D$175+Parametre!$E$175+Parametre!$F$175+Parametre!$G$175+Parametre!$H$175)*Parametre!$D$167*Vstupy!AH47</f>
        <v>2603.1691348477493</v>
      </c>
      <c r="AJ44" s="238">
        <f>Vstupy!AI34/Vstupy!$B$13/Vstupy!$B$6*(Parametre!$C$175+Parametre!$D$175+Parametre!$E$175+Parametre!$F$175+Parametre!$G$175+Parametre!$H$175)*Parametre!$D$167*Vstupy!AI47</f>
        <v>3463.9503954374059</v>
      </c>
      <c r="AK44" s="238">
        <f>Vstupy!AJ34/Vstupy!$B$13/Vstupy!$B$6*(Parametre!$C$175+Parametre!$D$175+Parametre!$E$175+Parametre!$F$175+Parametre!$G$175+Parametre!$H$175)*Parametre!$D$167*Vstupy!AJ47</f>
        <v>4321.2781183081634</v>
      </c>
      <c r="AL44" s="238">
        <f>Vstupy!AK34/Vstupy!$B$13/Vstupy!$B$6*(Parametre!$C$175+Parametre!$D$175+Parametre!$E$175+Parametre!$F$175+Parametre!$G$175+Parametre!$H$175)*Parametre!$D$167*Vstupy!AK47</f>
        <v>5175.1626744858559</v>
      </c>
    </row>
    <row r="45" spans="2:38" x14ac:dyDescent="0.2">
      <c r="B45" s="232" t="s">
        <v>137</v>
      </c>
      <c r="C45" s="237">
        <f>SUM(D45:AL45)</f>
        <v>0</v>
      </c>
      <c r="D45" s="238">
        <v>0</v>
      </c>
      <c r="E45" s="238">
        <v>0</v>
      </c>
      <c r="F45" s="238">
        <v>0</v>
      </c>
      <c r="G45" s="238">
        <v>0</v>
      </c>
      <c r="H45" s="238">
        <v>0</v>
      </c>
      <c r="I45" s="238">
        <v>0</v>
      </c>
      <c r="J45" s="238">
        <v>0</v>
      </c>
      <c r="K45" s="238">
        <v>0</v>
      </c>
      <c r="L45" s="238">
        <v>0</v>
      </c>
      <c r="M45" s="238">
        <v>0</v>
      </c>
      <c r="N45" s="238">
        <v>0</v>
      </c>
      <c r="O45" s="238">
        <v>0</v>
      </c>
      <c r="P45" s="238">
        <v>0</v>
      </c>
      <c r="Q45" s="238">
        <v>0</v>
      </c>
      <c r="R45" s="238">
        <v>0</v>
      </c>
      <c r="S45" s="238">
        <v>0</v>
      </c>
      <c r="T45" s="238">
        <v>0</v>
      </c>
      <c r="U45" s="238">
        <v>0</v>
      </c>
      <c r="V45" s="238">
        <v>0</v>
      </c>
      <c r="W45" s="238">
        <v>0</v>
      </c>
      <c r="X45" s="238">
        <v>0</v>
      </c>
      <c r="Y45" s="238">
        <v>0</v>
      </c>
      <c r="Z45" s="238">
        <v>0</v>
      </c>
      <c r="AA45" s="238">
        <v>0</v>
      </c>
      <c r="AB45" s="238">
        <v>0</v>
      </c>
      <c r="AC45" s="238">
        <v>0</v>
      </c>
      <c r="AD45" s="238">
        <v>0</v>
      </c>
      <c r="AE45" s="238">
        <v>0</v>
      </c>
      <c r="AF45" s="238">
        <v>0</v>
      </c>
      <c r="AG45" s="238">
        <v>0</v>
      </c>
      <c r="AH45" s="238">
        <v>0</v>
      </c>
      <c r="AI45" s="238">
        <v>0</v>
      </c>
      <c r="AJ45" s="238">
        <v>0</v>
      </c>
      <c r="AK45" s="238">
        <v>0</v>
      </c>
      <c r="AL45" s="238">
        <v>0</v>
      </c>
    </row>
    <row r="48" spans="2:38" x14ac:dyDescent="0.2">
      <c r="B48" s="232"/>
      <c r="C48" s="232"/>
      <c r="D48" s="232" t="s">
        <v>10</v>
      </c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2"/>
      <c r="AG48" s="232"/>
      <c r="AH48" s="232"/>
      <c r="AI48" s="232"/>
      <c r="AJ48" s="232"/>
      <c r="AK48" s="232"/>
      <c r="AL48" s="232"/>
    </row>
    <row r="49" spans="2:38" x14ac:dyDescent="0.2">
      <c r="B49" s="234" t="s">
        <v>424</v>
      </c>
      <c r="C49" s="234"/>
      <c r="D49" s="239">
        <v>1</v>
      </c>
      <c r="E49" s="239">
        <v>2</v>
      </c>
      <c r="F49" s="239">
        <v>3</v>
      </c>
      <c r="G49" s="239">
        <v>4</v>
      </c>
      <c r="H49" s="239">
        <v>5</v>
      </c>
      <c r="I49" s="239">
        <v>6</v>
      </c>
      <c r="J49" s="239">
        <v>7</v>
      </c>
      <c r="K49" s="239">
        <v>8</v>
      </c>
      <c r="L49" s="239">
        <v>9</v>
      </c>
      <c r="M49" s="239">
        <v>10</v>
      </c>
      <c r="N49" s="239">
        <v>11</v>
      </c>
      <c r="O49" s="239">
        <v>12</v>
      </c>
      <c r="P49" s="239">
        <v>13</v>
      </c>
      <c r="Q49" s="239">
        <v>14</v>
      </c>
      <c r="R49" s="239">
        <v>15</v>
      </c>
      <c r="S49" s="239">
        <v>16</v>
      </c>
      <c r="T49" s="239">
        <v>17</v>
      </c>
      <c r="U49" s="239">
        <v>18</v>
      </c>
      <c r="V49" s="239">
        <v>19</v>
      </c>
      <c r="W49" s="239">
        <v>20</v>
      </c>
      <c r="X49" s="239">
        <v>21</v>
      </c>
      <c r="Y49" s="239">
        <v>22</v>
      </c>
      <c r="Z49" s="239">
        <v>23</v>
      </c>
      <c r="AA49" s="239">
        <v>24</v>
      </c>
      <c r="AB49" s="239">
        <v>25</v>
      </c>
      <c r="AC49" s="239">
        <v>26</v>
      </c>
      <c r="AD49" s="239">
        <v>27</v>
      </c>
      <c r="AE49" s="239">
        <v>28</v>
      </c>
      <c r="AF49" s="239">
        <v>29</v>
      </c>
      <c r="AG49" s="239">
        <v>30</v>
      </c>
      <c r="AH49" s="239">
        <v>31</v>
      </c>
      <c r="AI49" s="239">
        <v>32</v>
      </c>
      <c r="AJ49" s="239">
        <v>33</v>
      </c>
      <c r="AK49" s="239">
        <v>34</v>
      </c>
      <c r="AL49" s="239">
        <v>35</v>
      </c>
    </row>
    <row r="50" spans="2:38" x14ac:dyDescent="0.2">
      <c r="B50" s="235" t="s">
        <v>34</v>
      </c>
      <c r="C50" s="236" t="s">
        <v>9</v>
      </c>
      <c r="D50" s="241">
        <f t="shared" ref="D50:AG50" si="29">D4</f>
        <v>2025</v>
      </c>
      <c r="E50" s="241">
        <f t="shared" si="29"/>
        <v>2026</v>
      </c>
      <c r="F50" s="241">
        <f t="shared" si="29"/>
        <v>2027</v>
      </c>
      <c r="G50" s="241">
        <f t="shared" si="29"/>
        <v>2028</v>
      </c>
      <c r="H50" s="241">
        <f t="shared" si="29"/>
        <v>2029</v>
      </c>
      <c r="I50" s="241">
        <f t="shared" si="29"/>
        <v>2030</v>
      </c>
      <c r="J50" s="241">
        <f t="shared" si="29"/>
        <v>2031</v>
      </c>
      <c r="K50" s="241">
        <f t="shared" si="29"/>
        <v>2032</v>
      </c>
      <c r="L50" s="241">
        <f t="shared" si="29"/>
        <v>2033</v>
      </c>
      <c r="M50" s="241">
        <f t="shared" si="29"/>
        <v>2034</v>
      </c>
      <c r="N50" s="241">
        <f t="shared" si="29"/>
        <v>2035</v>
      </c>
      <c r="O50" s="241">
        <f t="shared" si="29"/>
        <v>2036</v>
      </c>
      <c r="P50" s="241">
        <f t="shared" si="29"/>
        <v>2037</v>
      </c>
      <c r="Q50" s="241">
        <f t="shared" si="29"/>
        <v>2038</v>
      </c>
      <c r="R50" s="241">
        <f t="shared" si="29"/>
        <v>2039</v>
      </c>
      <c r="S50" s="241">
        <f t="shared" si="29"/>
        <v>2040</v>
      </c>
      <c r="T50" s="241">
        <f t="shared" si="29"/>
        <v>2041</v>
      </c>
      <c r="U50" s="241">
        <f t="shared" si="29"/>
        <v>2042</v>
      </c>
      <c r="V50" s="241">
        <f t="shared" si="29"/>
        <v>2043</v>
      </c>
      <c r="W50" s="241">
        <f t="shared" si="29"/>
        <v>2044</v>
      </c>
      <c r="X50" s="241">
        <f t="shared" si="29"/>
        <v>2045</v>
      </c>
      <c r="Y50" s="241">
        <f t="shared" si="29"/>
        <v>2046</v>
      </c>
      <c r="Z50" s="241">
        <f t="shared" si="29"/>
        <v>2047</v>
      </c>
      <c r="AA50" s="241">
        <f t="shared" si="29"/>
        <v>2048</v>
      </c>
      <c r="AB50" s="241">
        <f t="shared" si="29"/>
        <v>2049</v>
      </c>
      <c r="AC50" s="241">
        <f t="shared" si="29"/>
        <v>2050</v>
      </c>
      <c r="AD50" s="241">
        <f t="shared" si="29"/>
        <v>2051</v>
      </c>
      <c r="AE50" s="241">
        <f t="shared" si="29"/>
        <v>2052</v>
      </c>
      <c r="AF50" s="241">
        <f t="shared" si="29"/>
        <v>2053</v>
      </c>
      <c r="AG50" s="241">
        <f t="shared" si="29"/>
        <v>2054</v>
      </c>
      <c r="AH50" s="241">
        <f t="shared" ref="AH50:AL50" si="30">AH4</f>
        <v>2055</v>
      </c>
      <c r="AI50" s="241">
        <f t="shared" si="30"/>
        <v>2056</v>
      </c>
      <c r="AJ50" s="241">
        <f t="shared" si="30"/>
        <v>2057</v>
      </c>
      <c r="AK50" s="241">
        <f t="shared" si="30"/>
        <v>2058</v>
      </c>
      <c r="AL50" s="241">
        <f t="shared" si="30"/>
        <v>2059</v>
      </c>
    </row>
    <row r="51" spans="2:38" x14ac:dyDescent="0.2">
      <c r="B51" s="232" t="s">
        <v>376</v>
      </c>
      <c r="C51" s="237">
        <f>SUM(D51:AL51)</f>
        <v>0</v>
      </c>
      <c r="D51" s="238">
        <v>0</v>
      </c>
      <c r="E51" s="238">
        <v>0</v>
      </c>
      <c r="F51" s="238">
        <v>0</v>
      </c>
      <c r="G51" s="238">
        <v>0</v>
      </c>
      <c r="H51" s="238">
        <v>0</v>
      </c>
      <c r="I51" s="238">
        <v>0</v>
      </c>
      <c r="J51" s="238">
        <v>0</v>
      </c>
      <c r="K51" s="238">
        <v>0</v>
      </c>
      <c r="L51" s="238">
        <v>0</v>
      </c>
      <c r="M51" s="238">
        <v>0</v>
      </c>
      <c r="N51" s="238">
        <v>0</v>
      </c>
      <c r="O51" s="238">
        <v>0</v>
      </c>
      <c r="P51" s="238">
        <v>0</v>
      </c>
      <c r="Q51" s="238">
        <v>0</v>
      </c>
      <c r="R51" s="238">
        <v>0</v>
      </c>
      <c r="S51" s="238">
        <v>0</v>
      </c>
      <c r="T51" s="238">
        <v>0</v>
      </c>
      <c r="U51" s="238">
        <v>0</v>
      </c>
      <c r="V51" s="238">
        <v>0</v>
      </c>
      <c r="W51" s="238">
        <v>0</v>
      </c>
      <c r="X51" s="238">
        <v>0</v>
      </c>
      <c r="Y51" s="238">
        <v>0</v>
      </c>
      <c r="Z51" s="238">
        <v>0</v>
      </c>
      <c r="AA51" s="238">
        <v>0</v>
      </c>
      <c r="AB51" s="238">
        <v>0</v>
      </c>
      <c r="AC51" s="238">
        <v>0</v>
      </c>
      <c r="AD51" s="238">
        <v>0</v>
      </c>
      <c r="AE51" s="238">
        <v>0</v>
      </c>
      <c r="AF51" s="238">
        <v>0</v>
      </c>
      <c r="AG51" s="238">
        <v>0</v>
      </c>
      <c r="AH51" s="238">
        <v>0</v>
      </c>
      <c r="AI51" s="238">
        <v>0</v>
      </c>
      <c r="AJ51" s="238">
        <v>0</v>
      </c>
      <c r="AK51" s="238">
        <v>0</v>
      </c>
      <c r="AL51" s="238">
        <v>0</v>
      </c>
    </row>
    <row r="52" spans="2:38" x14ac:dyDescent="0.2">
      <c r="B52" s="232" t="s">
        <v>377</v>
      </c>
      <c r="C52" s="237">
        <f>SUM(D52:AL52)</f>
        <v>0</v>
      </c>
      <c r="D52" s="238">
        <v>0</v>
      </c>
      <c r="E52" s="238">
        <v>0</v>
      </c>
      <c r="F52" s="238">
        <v>0</v>
      </c>
      <c r="G52" s="238">
        <v>0</v>
      </c>
      <c r="H52" s="238">
        <v>0</v>
      </c>
      <c r="I52" s="238">
        <v>0</v>
      </c>
      <c r="J52" s="238">
        <v>0</v>
      </c>
      <c r="K52" s="238">
        <v>0</v>
      </c>
      <c r="L52" s="238">
        <v>0</v>
      </c>
      <c r="M52" s="238">
        <v>0</v>
      </c>
      <c r="N52" s="238">
        <v>0</v>
      </c>
      <c r="O52" s="238">
        <v>0</v>
      </c>
      <c r="P52" s="238">
        <v>0</v>
      </c>
      <c r="Q52" s="238">
        <v>0</v>
      </c>
      <c r="R52" s="238">
        <v>0</v>
      </c>
      <c r="S52" s="238">
        <v>0</v>
      </c>
      <c r="T52" s="238">
        <v>0</v>
      </c>
      <c r="U52" s="238">
        <v>0</v>
      </c>
      <c r="V52" s="238">
        <v>0</v>
      </c>
      <c r="W52" s="238">
        <v>0</v>
      </c>
      <c r="X52" s="238">
        <v>0</v>
      </c>
      <c r="Y52" s="238">
        <v>0</v>
      </c>
      <c r="Z52" s="238">
        <v>0</v>
      </c>
      <c r="AA52" s="238">
        <v>0</v>
      </c>
      <c r="AB52" s="238">
        <v>0</v>
      </c>
      <c r="AC52" s="238">
        <v>0</v>
      </c>
      <c r="AD52" s="238">
        <v>0</v>
      </c>
      <c r="AE52" s="238">
        <v>0</v>
      </c>
      <c r="AF52" s="238">
        <v>0</v>
      </c>
      <c r="AG52" s="238">
        <v>0</v>
      </c>
      <c r="AH52" s="238">
        <v>0</v>
      </c>
      <c r="AI52" s="238">
        <v>0</v>
      </c>
      <c r="AJ52" s="238">
        <v>0</v>
      </c>
      <c r="AK52" s="238">
        <v>0</v>
      </c>
      <c r="AL52" s="238">
        <v>0</v>
      </c>
    </row>
    <row r="53" spans="2:38" x14ac:dyDescent="0.2">
      <c r="B53" s="232" t="s">
        <v>378</v>
      </c>
      <c r="C53" s="237">
        <f>SUM(D53:AL53)</f>
        <v>0</v>
      </c>
      <c r="D53" s="238">
        <v>0</v>
      </c>
      <c r="E53" s="238">
        <v>0</v>
      </c>
      <c r="F53" s="238">
        <v>0</v>
      </c>
      <c r="G53" s="238">
        <v>0</v>
      </c>
      <c r="H53" s="238">
        <v>0</v>
      </c>
      <c r="I53" s="238">
        <v>0</v>
      </c>
      <c r="J53" s="238">
        <v>0</v>
      </c>
      <c r="K53" s="238">
        <v>0</v>
      </c>
      <c r="L53" s="238">
        <v>0</v>
      </c>
      <c r="M53" s="238">
        <v>0</v>
      </c>
      <c r="N53" s="238">
        <v>0</v>
      </c>
      <c r="O53" s="238">
        <v>0</v>
      </c>
      <c r="P53" s="238">
        <v>0</v>
      </c>
      <c r="Q53" s="238">
        <v>0</v>
      </c>
      <c r="R53" s="238">
        <v>0</v>
      </c>
      <c r="S53" s="238">
        <v>0</v>
      </c>
      <c r="T53" s="238">
        <v>0</v>
      </c>
      <c r="U53" s="238">
        <v>0</v>
      </c>
      <c r="V53" s="238">
        <v>0</v>
      </c>
      <c r="W53" s="238">
        <v>0</v>
      </c>
      <c r="X53" s="238">
        <v>0</v>
      </c>
      <c r="Y53" s="238">
        <v>0</v>
      </c>
      <c r="Z53" s="238">
        <v>0</v>
      </c>
      <c r="AA53" s="238">
        <v>0</v>
      </c>
      <c r="AB53" s="238">
        <v>0</v>
      </c>
      <c r="AC53" s="238">
        <v>0</v>
      </c>
      <c r="AD53" s="238">
        <v>0</v>
      </c>
      <c r="AE53" s="238">
        <v>0</v>
      </c>
      <c r="AF53" s="238">
        <v>0</v>
      </c>
      <c r="AG53" s="238">
        <v>0</v>
      </c>
      <c r="AH53" s="238">
        <v>0</v>
      </c>
      <c r="AI53" s="238">
        <v>0</v>
      </c>
      <c r="AJ53" s="238">
        <v>0</v>
      </c>
      <c r="AK53" s="238">
        <v>0</v>
      </c>
      <c r="AL53" s="238">
        <v>0</v>
      </c>
    </row>
    <row r="54" spans="2:38" x14ac:dyDescent="0.2">
      <c r="B54" s="232" t="s">
        <v>137</v>
      </c>
      <c r="C54" s="237">
        <f>SUM(D54:AL54)</f>
        <v>0</v>
      </c>
      <c r="D54" s="238">
        <v>0</v>
      </c>
      <c r="E54" s="238">
        <v>0</v>
      </c>
      <c r="F54" s="238">
        <v>0</v>
      </c>
      <c r="G54" s="238">
        <v>0</v>
      </c>
      <c r="H54" s="238">
        <v>0</v>
      </c>
      <c r="I54" s="238">
        <v>0</v>
      </c>
      <c r="J54" s="238">
        <v>0</v>
      </c>
      <c r="K54" s="238">
        <v>0</v>
      </c>
      <c r="L54" s="238">
        <v>0</v>
      </c>
      <c r="M54" s="238">
        <v>0</v>
      </c>
      <c r="N54" s="238">
        <v>0</v>
      </c>
      <c r="O54" s="238">
        <v>0</v>
      </c>
      <c r="P54" s="238">
        <v>0</v>
      </c>
      <c r="Q54" s="238">
        <v>0</v>
      </c>
      <c r="R54" s="238">
        <v>0</v>
      </c>
      <c r="S54" s="238">
        <v>0</v>
      </c>
      <c r="T54" s="238">
        <v>0</v>
      </c>
      <c r="U54" s="238">
        <v>0</v>
      </c>
      <c r="V54" s="238">
        <v>0</v>
      </c>
      <c r="W54" s="238">
        <v>0</v>
      </c>
      <c r="X54" s="238">
        <v>0</v>
      </c>
      <c r="Y54" s="238">
        <v>0</v>
      </c>
      <c r="Z54" s="238">
        <v>0</v>
      </c>
      <c r="AA54" s="238">
        <v>0</v>
      </c>
      <c r="AB54" s="238">
        <v>0</v>
      </c>
      <c r="AC54" s="238">
        <v>0</v>
      </c>
      <c r="AD54" s="238">
        <v>0</v>
      </c>
      <c r="AE54" s="238">
        <v>0</v>
      </c>
      <c r="AF54" s="238">
        <v>0</v>
      </c>
      <c r="AG54" s="238">
        <v>0</v>
      </c>
      <c r="AH54" s="238">
        <v>0</v>
      </c>
      <c r="AI54" s="238">
        <v>0</v>
      </c>
      <c r="AJ54" s="238">
        <v>0</v>
      </c>
      <c r="AK54" s="238">
        <v>0</v>
      </c>
      <c r="AL54" s="238">
        <v>0</v>
      </c>
    </row>
    <row r="57" spans="2:38" x14ac:dyDescent="0.2">
      <c r="B57" s="232"/>
      <c r="C57" s="232"/>
      <c r="D57" s="232" t="s">
        <v>10</v>
      </c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  <c r="AI57" s="232"/>
      <c r="AJ57" s="232"/>
      <c r="AK57" s="232"/>
      <c r="AL57" s="232"/>
    </row>
    <row r="58" spans="2:38" x14ac:dyDescent="0.2">
      <c r="B58" s="234" t="s">
        <v>425</v>
      </c>
      <c r="C58" s="234"/>
      <c r="D58" s="239">
        <v>1</v>
      </c>
      <c r="E58" s="239">
        <v>2</v>
      </c>
      <c r="F58" s="239">
        <v>3</v>
      </c>
      <c r="G58" s="239">
        <v>4</v>
      </c>
      <c r="H58" s="239">
        <v>5</v>
      </c>
      <c r="I58" s="239">
        <v>6</v>
      </c>
      <c r="J58" s="239">
        <v>7</v>
      </c>
      <c r="K58" s="239">
        <v>8</v>
      </c>
      <c r="L58" s="239">
        <v>9</v>
      </c>
      <c r="M58" s="239">
        <v>10</v>
      </c>
      <c r="N58" s="239">
        <v>11</v>
      </c>
      <c r="O58" s="239">
        <v>12</v>
      </c>
      <c r="P58" s="239">
        <v>13</v>
      </c>
      <c r="Q58" s="239">
        <v>14</v>
      </c>
      <c r="R58" s="239">
        <v>15</v>
      </c>
      <c r="S58" s="239">
        <v>16</v>
      </c>
      <c r="T58" s="239">
        <v>17</v>
      </c>
      <c r="U58" s="239">
        <v>18</v>
      </c>
      <c r="V58" s="239">
        <v>19</v>
      </c>
      <c r="W58" s="239">
        <v>20</v>
      </c>
      <c r="X58" s="239">
        <v>21</v>
      </c>
      <c r="Y58" s="239">
        <v>22</v>
      </c>
      <c r="Z58" s="239">
        <v>23</v>
      </c>
      <c r="AA58" s="239">
        <v>24</v>
      </c>
      <c r="AB58" s="239">
        <v>25</v>
      </c>
      <c r="AC58" s="239">
        <v>26</v>
      </c>
      <c r="AD58" s="239">
        <v>27</v>
      </c>
      <c r="AE58" s="239">
        <v>28</v>
      </c>
      <c r="AF58" s="239">
        <v>29</v>
      </c>
      <c r="AG58" s="239">
        <v>30</v>
      </c>
      <c r="AH58" s="239">
        <v>31</v>
      </c>
      <c r="AI58" s="239">
        <v>32</v>
      </c>
      <c r="AJ58" s="239">
        <v>33</v>
      </c>
      <c r="AK58" s="239">
        <v>34</v>
      </c>
      <c r="AL58" s="239">
        <v>35</v>
      </c>
    </row>
    <row r="59" spans="2:38" x14ac:dyDescent="0.2">
      <c r="B59" s="235" t="s">
        <v>63</v>
      </c>
      <c r="C59" s="236" t="s">
        <v>9</v>
      </c>
      <c r="D59" s="241">
        <f t="shared" ref="D59:AG59" si="31">D4</f>
        <v>2025</v>
      </c>
      <c r="E59" s="241">
        <f t="shared" si="31"/>
        <v>2026</v>
      </c>
      <c r="F59" s="241">
        <f t="shared" si="31"/>
        <v>2027</v>
      </c>
      <c r="G59" s="241">
        <f t="shared" si="31"/>
        <v>2028</v>
      </c>
      <c r="H59" s="241">
        <f t="shared" si="31"/>
        <v>2029</v>
      </c>
      <c r="I59" s="241">
        <f t="shared" si="31"/>
        <v>2030</v>
      </c>
      <c r="J59" s="241">
        <f t="shared" si="31"/>
        <v>2031</v>
      </c>
      <c r="K59" s="241">
        <f t="shared" si="31"/>
        <v>2032</v>
      </c>
      <c r="L59" s="241">
        <f t="shared" si="31"/>
        <v>2033</v>
      </c>
      <c r="M59" s="241">
        <f t="shared" si="31"/>
        <v>2034</v>
      </c>
      <c r="N59" s="241">
        <f t="shared" si="31"/>
        <v>2035</v>
      </c>
      <c r="O59" s="241">
        <f t="shared" si="31"/>
        <v>2036</v>
      </c>
      <c r="P59" s="241">
        <f t="shared" si="31"/>
        <v>2037</v>
      </c>
      <c r="Q59" s="241">
        <f t="shared" si="31"/>
        <v>2038</v>
      </c>
      <c r="R59" s="241">
        <f t="shared" si="31"/>
        <v>2039</v>
      </c>
      <c r="S59" s="241">
        <f t="shared" si="31"/>
        <v>2040</v>
      </c>
      <c r="T59" s="241">
        <f t="shared" si="31"/>
        <v>2041</v>
      </c>
      <c r="U59" s="241">
        <f t="shared" si="31"/>
        <v>2042</v>
      </c>
      <c r="V59" s="241">
        <f t="shared" si="31"/>
        <v>2043</v>
      </c>
      <c r="W59" s="241">
        <f t="shared" si="31"/>
        <v>2044</v>
      </c>
      <c r="X59" s="241">
        <f t="shared" si="31"/>
        <v>2045</v>
      </c>
      <c r="Y59" s="241">
        <f t="shared" si="31"/>
        <v>2046</v>
      </c>
      <c r="Z59" s="241">
        <f t="shared" si="31"/>
        <v>2047</v>
      </c>
      <c r="AA59" s="241">
        <f t="shared" si="31"/>
        <v>2048</v>
      </c>
      <c r="AB59" s="241">
        <f t="shared" si="31"/>
        <v>2049</v>
      </c>
      <c r="AC59" s="241">
        <f t="shared" si="31"/>
        <v>2050</v>
      </c>
      <c r="AD59" s="241">
        <f t="shared" si="31"/>
        <v>2051</v>
      </c>
      <c r="AE59" s="241">
        <f t="shared" si="31"/>
        <v>2052</v>
      </c>
      <c r="AF59" s="241">
        <f t="shared" si="31"/>
        <v>2053</v>
      </c>
      <c r="AG59" s="241">
        <f t="shared" si="31"/>
        <v>2054</v>
      </c>
      <c r="AH59" s="241">
        <f t="shared" ref="AH59:AL59" si="32">AH4</f>
        <v>2055</v>
      </c>
      <c r="AI59" s="241">
        <f t="shared" si="32"/>
        <v>2056</v>
      </c>
      <c r="AJ59" s="241">
        <f t="shared" si="32"/>
        <v>2057</v>
      </c>
      <c r="AK59" s="241">
        <f t="shared" si="32"/>
        <v>2058</v>
      </c>
      <c r="AL59" s="241">
        <f t="shared" si="32"/>
        <v>2059</v>
      </c>
    </row>
    <row r="60" spans="2:38" x14ac:dyDescent="0.2">
      <c r="B60" s="232" t="s">
        <v>376</v>
      </c>
      <c r="C60" s="237">
        <f t="shared" ref="C60:C66" si="33">SUM(D60:AL60)</f>
        <v>859212.48990732641</v>
      </c>
      <c r="D60" s="237">
        <f t="shared" ref="D60:AG60" si="34">D42-D51</f>
        <v>0</v>
      </c>
      <c r="E60" s="237">
        <f t="shared" si="34"/>
        <v>0</v>
      </c>
      <c r="F60" s="237">
        <f t="shared" si="34"/>
        <v>0</v>
      </c>
      <c r="G60" s="237">
        <f t="shared" si="34"/>
        <v>18636.677494322641</v>
      </c>
      <c r="H60" s="237">
        <f t="shared" si="34"/>
        <v>18636.677494322641</v>
      </c>
      <c r="I60" s="237">
        <f t="shared" si="34"/>
        <v>18636.677494322641</v>
      </c>
      <c r="J60" s="237">
        <f t="shared" si="34"/>
        <v>18636.677494322641</v>
      </c>
      <c r="K60" s="237">
        <f t="shared" si="34"/>
        <v>18636.677494322641</v>
      </c>
      <c r="L60" s="237">
        <f t="shared" si="34"/>
        <v>18636.677494322641</v>
      </c>
      <c r="M60" s="237">
        <f t="shared" si="34"/>
        <v>18636.677494322641</v>
      </c>
      <c r="N60" s="237">
        <f t="shared" si="34"/>
        <v>18636.677494322641</v>
      </c>
      <c r="O60" s="237">
        <f t="shared" si="34"/>
        <v>18636.677494322641</v>
      </c>
      <c r="P60" s="237">
        <f t="shared" si="34"/>
        <v>18636.677494322641</v>
      </c>
      <c r="Q60" s="237">
        <f t="shared" si="34"/>
        <v>18636.677494322641</v>
      </c>
      <c r="R60" s="237">
        <f t="shared" si="34"/>
        <v>18636.677494322641</v>
      </c>
      <c r="S60" s="237">
        <f t="shared" si="34"/>
        <v>18636.677494322641</v>
      </c>
      <c r="T60" s="237">
        <f t="shared" si="34"/>
        <v>18599.404139333994</v>
      </c>
      <c r="U60" s="237">
        <f t="shared" si="34"/>
        <v>18562.205331055331</v>
      </c>
      <c r="V60" s="237">
        <f t="shared" si="34"/>
        <v>18525.080920393219</v>
      </c>
      <c r="W60" s="237">
        <f t="shared" si="34"/>
        <v>18488.030758552432</v>
      </c>
      <c r="X60" s="237">
        <f t="shared" si="34"/>
        <v>18451.054697035328</v>
      </c>
      <c r="Y60" s="237">
        <f t="shared" si="34"/>
        <v>18414.15258764126</v>
      </c>
      <c r="Z60" s="237">
        <f t="shared" si="34"/>
        <v>18377.324282465972</v>
      </c>
      <c r="AA60" s="237">
        <f t="shared" si="34"/>
        <v>18340.569633901036</v>
      </c>
      <c r="AB60" s="237">
        <f t="shared" si="34"/>
        <v>18303.888494633236</v>
      </c>
      <c r="AC60" s="237">
        <f t="shared" si="34"/>
        <v>18267.280717643971</v>
      </c>
      <c r="AD60" s="237">
        <f t="shared" si="34"/>
        <v>18230.746156208683</v>
      </c>
      <c r="AE60" s="237">
        <f t="shared" si="34"/>
        <v>18194.284663896269</v>
      </c>
      <c r="AF60" s="237">
        <f t="shared" si="34"/>
        <v>18157.89609456847</v>
      </c>
      <c r="AG60" s="237">
        <f t="shared" si="34"/>
        <v>18121.580302379334</v>
      </c>
      <c r="AH60" s="237">
        <f t="shared" ref="AH60:AL60" si="35">AH42-AH51</f>
        <v>36170.674283549153</v>
      </c>
      <c r="AI60" s="237">
        <f t="shared" si="35"/>
        <v>54147.499402473084</v>
      </c>
      <c r="AJ60" s="237">
        <f t="shared" si="35"/>
        <v>72052.272538224206</v>
      </c>
      <c r="AK60" s="237">
        <f t="shared" si="35"/>
        <v>89885.209991434662</v>
      </c>
      <c r="AL60" s="237">
        <f t="shared" si="35"/>
        <v>107646.52748574218</v>
      </c>
    </row>
    <row r="61" spans="2:38" x14ac:dyDescent="0.2">
      <c r="B61" s="232" t="s">
        <v>377</v>
      </c>
      <c r="C61" s="237">
        <f t="shared" si="33"/>
        <v>641359.85859333887</v>
      </c>
      <c r="D61" s="237">
        <f t="shared" ref="D61:AG61" si="36">D43-D52</f>
        <v>0</v>
      </c>
      <c r="E61" s="237">
        <f t="shared" si="36"/>
        <v>0</v>
      </c>
      <c r="F61" s="237">
        <f t="shared" si="36"/>
        <v>0</v>
      </c>
      <c r="G61" s="237">
        <f t="shared" si="36"/>
        <v>13911.363001366111</v>
      </c>
      <c r="H61" s="237">
        <f t="shared" si="36"/>
        <v>13911.363001366111</v>
      </c>
      <c r="I61" s="237">
        <f t="shared" si="36"/>
        <v>13911.363001366111</v>
      </c>
      <c r="J61" s="237">
        <f t="shared" si="36"/>
        <v>13911.363001366111</v>
      </c>
      <c r="K61" s="237">
        <f t="shared" si="36"/>
        <v>13911.363001366111</v>
      </c>
      <c r="L61" s="237">
        <f t="shared" si="36"/>
        <v>13911.363001366111</v>
      </c>
      <c r="M61" s="237">
        <f t="shared" si="36"/>
        <v>13911.363001366111</v>
      </c>
      <c r="N61" s="237">
        <f t="shared" si="36"/>
        <v>13911.363001366111</v>
      </c>
      <c r="O61" s="237">
        <f t="shared" si="36"/>
        <v>13911.363001366111</v>
      </c>
      <c r="P61" s="237">
        <f t="shared" si="36"/>
        <v>13911.363001366111</v>
      </c>
      <c r="Q61" s="237">
        <f t="shared" si="36"/>
        <v>13911.363001366111</v>
      </c>
      <c r="R61" s="237">
        <f t="shared" si="36"/>
        <v>13911.363001366111</v>
      </c>
      <c r="S61" s="237">
        <f t="shared" si="36"/>
        <v>13911.363001366111</v>
      </c>
      <c r="T61" s="237">
        <f t="shared" si="36"/>
        <v>13883.540275363379</v>
      </c>
      <c r="U61" s="237">
        <f t="shared" si="36"/>
        <v>13855.773194812655</v>
      </c>
      <c r="V61" s="237">
        <f t="shared" si="36"/>
        <v>13828.061648423029</v>
      </c>
      <c r="W61" s="237">
        <f t="shared" si="36"/>
        <v>13800.405525126183</v>
      </c>
      <c r="X61" s="237">
        <f t="shared" si="36"/>
        <v>13772.80471407593</v>
      </c>
      <c r="Y61" s="237">
        <f t="shared" si="36"/>
        <v>13745.259104647779</v>
      </c>
      <c r="Z61" s="237">
        <f t="shared" si="36"/>
        <v>13717.768586438482</v>
      </c>
      <c r="AA61" s="237">
        <f t="shared" si="36"/>
        <v>13690.333049265602</v>
      </c>
      <c r="AB61" s="237">
        <f t="shared" si="36"/>
        <v>13662.952383167074</v>
      </c>
      <c r="AC61" s="237">
        <f t="shared" si="36"/>
        <v>13635.62647840074</v>
      </c>
      <c r="AD61" s="237">
        <f t="shared" si="36"/>
        <v>13608.355225443938</v>
      </c>
      <c r="AE61" s="237">
        <f t="shared" si="36"/>
        <v>13581.13851499305</v>
      </c>
      <c r="AF61" s="237">
        <f t="shared" si="36"/>
        <v>13553.976237963061</v>
      </c>
      <c r="AG61" s="237">
        <f t="shared" si="36"/>
        <v>13526.868285487137</v>
      </c>
      <c r="AH61" s="237">
        <f t="shared" ref="AH61:AL61" si="37">AH43-AH52</f>
        <v>26999.629097832327</v>
      </c>
      <c r="AI61" s="237">
        <f t="shared" si="37"/>
        <v>40418.444759454986</v>
      </c>
      <c r="AJ61" s="237">
        <f t="shared" si="37"/>
        <v>53783.477159914786</v>
      </c>
      <c r="AK61" s="237">
        <f t="shared" si="37"/>
        <v>67094.887756993689</v>
      </c>
      <c r="AL61" s="237">
        <f t="shared" si="37"/>
        <v>80352.83757777563</v>
      </c>
    </row>
    <row r="62" spans="2:38" x14ac:dyDescent="0.2">
      <c r="B62" s="232" t="s">
        <v>378</v>
      </c>
      <c r="C62" s="237">
        <f t="shared" si="33"/>
        <v>41307.086360118767</v>
      </c>
      <c r="D62" s="240">
        <f t="shared" ref="D62:AG62" si="38">D44-D53</f>
        <v>0</v>
      </c>
      <c r="E62" s="240">
        <f t="shared" si="38"/>
        <v>0</v>
      </c>
      <c r="F62" s="240">
        <f t="shared" si="38"/>
        <v>0</v>
      </c>
      <c r="G62" s="240">
        <f t="shared" si="38"/>
        <v>895.96794246636227</v>
      </c>
      <c r="H62" s="240">
        <f t="shared" si="38"/>
        <v>895.96794246636227</v>
      </c>
      <c r="I62" s="240">
        <f t="shared" si="38"/>
        <v>895.96794246636227</v>
      </c>
      <c r="J62" s="240">
        <f t="shared" si="38"/>
        <v>895.96794246636227</v>
      </c>
      <c r="K62" s="240">
        <f t="shared" si="38"/>
        <v>895.96794246636227</v>
      </c>
      <c r="L62" s="240">
        <f t="shared" si="38"/>
        <v>895.96794246636227</v>
      </c>
      <c r="M62" s="240">
        <f t="shared" si="38"/>
        <v>895.96794246636227</v>
      </c>
      <c r="N62" s="240">
        <f t="shared" si="38"/>
        <v>895.96794246636227</v>
      </c>
      <c r="O62" s="240">
        <f t="shared" si="38"/>
        <v>895.96794246636227</v>
      </c>
      <c r="P62" s="240">
        <f t="shared" si="38"/>
        <v>895.96794246636227</v>
      </c>
      <c r="Q62" s="240">
        <f t="shared" si="38"/>
        <v>895.96794246636227</v>
      </c>
      <c r="R62" s="240">
        <f t="shared" si="38"/>
        <v>895.96794246636227</v>
      </c>
      <c r="S62" s="240">
        <f t="shared" si="38"/>
        <v>895.96794246636227</v>
      </c>
      <c r="T62" s="240">
        <f t="shared" si="38"/>
        <v>894.17600658142965</v>
      </c>
      <c r="U62" s="240">
        <f t="shared" si="38"/>
        <v>892.38765456826684</v>
      </c>
      <c r="V62" s="240">
        <f t="shared" si="38"/>
        <v>890.60287925913019</v>
      </c>
      <c r="W62" s="240">
        <f t="shared" si="38"/>
        <v>888.82167350061206</v>
      </c>
      <c r="X62" s="240">
        <f t="shared" si="38"/>
        <v>887.04403015361083</v>
      </c>
      <c r="Y62" s="240">
        <f t="shared" si="38"/>
        <v>885.2699420933036</v>
      </c>
      <c r="Z62" s="240">
        <f t="shared" si="38"/>
        <v>883.49940220911685</v>
      </c>
      <c r="AA62" s="240">
        <f t="shared" si="38"/>
        <v>881.73240340469863</v>
      </c>
      <c r="AB62" s="240">
        <f t="shared" si="38"/>
        <v>879.96893859788918</v>
      </c>
      <c r="AC62" s="240">
        <f t="shared" si="38"/>
        <v>878.20900072069344</v>
      </c>
      <c r="AD62" s="240">
        <f t="shared" si="38"/>
        <v>876.45258271925218</v>
      </c>
      <c r="AE62" s="240">
        <f t="shared" si="38"/>
        <v>874.69967755381344</v>
      </c>
      <c r="AF62" s="240">
        <f t="shared" si="38"/>
        <v>872.95027819870575</v>
      </c>
      <c r="AG62" s="240">
        <f t="shared" si="38"/>
        <v>871.20437764230837</v>
      </c>
      <c r="AH62" s="240">
        <f t="shared" ref="AH62:AL62" si="39">AH44-AH53</f>
        <v>1738.9239377740475</v>
      </c>
      <c r="AI62" s="240">
        <f t="shared" si="39"/>
        <v>2603.1691348477493</v>
      </c>
      <c r="AJ62" s="240">
        <f t="shared" si="39"/>
        <v>3463.9503954374059</v>
      </c>
      <c r="AK62" s="240">
        <f t="shared" si="39"/>
        <v>4321.2781183081634</v>
      </c>
      <c r="AL62" s="240">
        <f t="shared" si="39"/>
        <v>5175.1626744858559</v>
      </c>
    </row>
    <row r="63" spans="2:38" ht="12" thickBot="1" x14ac:dyDescent="0.25">
      <c r="B63" s="242" t="s">
        <v>137</v>
      </c>
      <c r="C63" s="243">
        <f t="shared" si="33"/>
        <v>0</v>
      </c>
      <c r="D63" s="243">
        <f t="shared" ref="D63:AG63" si="40">D45-D54</f>
        <v>0</v>
      </c>
      <c r="E63" s="243">
        <f t="shared" si="40"/>
        <v>0</v>
      </c>
      <c r="F63" s="243">
        <f t="shared" si="40"/>
        <v>0</v>
      </c>
      <c r="G63" s="243">
        <f t="shared" si="40"/>
        <v>0</v>
      </c>
      <c r="H63" s="243">
        <f t="shared" si="40"/>
        <v>0</v>
      </c>
      <c r="I63" s="243">
        <f t="shared" si="40"/>
        <v>0</v>
      </c>
      <c r="J63" s="243">
        <f t="shared" si="40"/>
        <v>0</v>
      </c>
      <c r="K63" s="243">
        <f t="shared" si="40"/>
        <v>0</v>
      </c>
      <c r="L63" s="243">
        <f t="shared" si="40"/>
        <v>0</v>
      </c>
      <c r="M63" s="243">
        <f t="shared" si="40"/>
        <v>0</v>
      </c>
      <c r="N63" s="243">
        <f t="shared" si="40"/>
        <v>0</v>
      </c>
      <c r="O63" s="243">
        <f t="shared" si="40"/>
        <v>0</v>
      </c>
      <c r="P63" s="243">
        <f t="shared" si="40"/>
        <v>0</v>
      </c>
      <c r="Q63" s="243">
        <f t="shared" si="40"/>
        <v>0</v>
      </c>
      <c r="R63" s="243">
        <f t="shared" si="40"/>
        <v>0</v>
      </c>
      <c r="S63" s="243">
        <f t="shared" si="40"/>
        <v>0</v>
      </c>
      <c r="T63" s="243">
        <f t="shared" si="40"/>
        <v>0</v>
      </c>
      <c r="U63" s="243">
        <f t="shared" si="40"/>
        <v>0</v>
      </c>
      <c r="V63" s="243">
        <f t="shared" si="40"/>
        <v>0</v>
      </c>
      <c r="W63" s="243">
        <f t="shared" si="40"/>
        <v>0</v>
      </c>
      <c r="X63" s="243">
        <f t="shared" si="40"/>
        <v>0</v>
      </c>
      <c r="Y63" s="243">
        <f t="shared" si="40"/>
        <v>0</v>
      </c>
      <c r="Z63" s="243">
        <f t="shared" si="40"/>
        <v>0</v>
      </c>
      <c r="AA63" s="243">
        <f t="shared" si="40"/>
        <v>0</v>
      </c>
      <c r="AB63" s="243">
        <f t="shared" si="40"/>
        <v>0</v>
      </c>
      <c r="AC63" s="243">
        <f t="shared" si="40"/>
        <v>0</v>
      </c>
      <c r="AD63" s="243">
        <f t="shared" si="40"/>
        <v>0</v>
      </c>
      <c r="AE63" s="243">
        <f t="shared" si="40"/>
        <v>0</v>
      </c>
      <c r="AF63" s="243">
        <f t="shared" si="40"/>
        <v>0</v>
      </c>
      <c r="AG63" s="243">
        <f t="shared" si="40"/>
        <v>0</v>
      </c>
      <c r="AH63" s="243">
        <f t="shared" ref="AH63:AL63" si="41">AH45-AH54</f>
        <v>0</v>
      </c>
      <c r="AI63" s="243">
        <f t="shared" si="41"/>
        <v>0</v>
      </c>
      <c r="AJ63" s="243">
        <f t="shared" si="41"/>
        <v>0</v>
      </c>
      <c r="AK63" s="243">
        <f t="shared" si="41"/>
        <v>0</v>
      </c>
      <c r="AL63" s="243">
        <f t="shared" si="41"/>
        <v>0</v>
      </c>
    </row>
    <row r="64" spans="2:38" ht="12" thickTop="1" x14ac:dyDescent="0.2">
      <c r="B64" s="244" t="s">
        <v>379</v>
      </c>
      <c r="C64" s="245">
        <f t="shared" si="33"/>
        <v>859212.48990732641</v>
      </c>
      <c r="D64" s="246">
        <f t="shared" ref="D64:AG64" si="42">D60</f>
        <v>0</v>
      </c>
      <c r="E64" s="246">
        <f t="shared" si="42"/>
        <v>0</v>
      </c>
      <c r="F64" s="246">
        <f t="shared" si="42"/>
        <v>0</v>
      </c>
      <c r="G64" s="246">
        <f t="shared" si="42"/>
        <v>18636.677494322641</v>
      </c>
      <c r="H64" s="246">
        <f t="shared" si="42"/>
        <v>18636.677494322641</v>
      </c>
      <c r="I64" s="246">
        <f t="shared" si="42"/>
        <v>18636.677494322641</v>
      </c>
      <c r="J64" s="246">
        <f t="shared" si="42"/>
        <v>18636.677494322641</v>
      </c>
      <c r="K64" s="246">
        <f t="shared" si="42"/>
        <v>18636.677494322641</v>
      </c>
      <c r="L64" s="246">
        <f t="shared" si="42"/>
        <v>18636.677494322641</v>
      </c>
      <c r="M64" s="246">
        <f t="shared" si="42"/>
        <v>18636.677494322641</v>
      </c>
      <c r="N64" s="246">
        <f t="shared" si="42"/>
        <v>18636.677494322641</v>
      </c>
      <c r="O64" s="246">
        <f t="shared" si="42"/>
        <v>18636.677494322641</v>
      </c>
      <c r="P64" s="246">
        <f t="shared" si="42"/>
        <v>18636.677494322641</v>
      </c>
      <c r="Q64" s="246">
        <f t="shared" si="42"/>
        <v>18636.677494322641</v>
      </c>
      <c r="R64" s="246">
        <f t="shared" si="42"/>
        <v>18636.677494322641</v>
      </c>
      <c r="S64" s="246">
        <f t="shared" si="42"/>
        <v>18636.677494322641</v>
      </c>
      <c r="T64" s="246">
        <f t="shared" si="42"/>
        <v>18599.404139333994</v>
      </c>
      <c r="U64" s="246">
        <f t="shared" si="42"/>
        <v>18562.205331055331</v>
      </c>
      <c r="V64" s="246">
        <f t="shared" si="42"/>
        <v>18525.080920393219</v>
      </c>
      <c r="W64" s="246">
        <f t="shared" si="42"/>
        <v>18488.030758552432</v>
      </c>
      <c r="X64" s="246">
        <f t="shared" si="42"/>
        <v>18451.054697035328</v>
      </c>
      <c r="Y64" s="246">
        <f t="shared" si="42"/>
        <v>18414.15258764126</v>
      </c>
      <c r="Z64" s="246">
        <f t="shared" si="42"/>
        <v>18377.324282465972</v>
      </c>
      <c r="AA64" s="246">
        <f t="shared" si="42"/>
        <v>18340.569633901036</v>
      </c>
      <c r="AB64" s="246">
        <f t="shared" si="42"/>
        <v>18303.888494633236</v>
      </c>
      <c r="AC64" s="246">
        <f t="shared" si="42"/>
        <v>18267.280717643971</v>
      </c>
      <c r="AD64" s="246">
        <f t="shared" si="42"/>
        <v>18230.746156208683</v>
      </c>
      <c r="AE64" s="246">
        <f t="shared" si="42"/>
        <v>18194.284663896269</v>
      </c>
      <c r="AF64" s="246">
        <f t="shared" si="42"/>
        <v>18157.89609456847</v>
      </c>
      <c r="AG64" s="246">
        <f t="shared" si="42"/>
        <v>18121.580302379334</v>
      </c>
      <c r="AH64" s="246">
        <f t="shared" ref="AH64:AL64" si="43">AH60</f>
        <v>36170.674283549153</v>
      </c>
      <c r="AI64" s="246">
        <f t="shared" si="43"/>
        <v>54147.499402473084</v>
      </c>
      <c r="AJ64" s="246">
        <f t="shared" si="43"/>
        <v>72052.272538224206</v>
      </c>
      <c r="AK64" s="246">
        <f t="shared" si="43"/>
        <v>89885.209991434662</v>
      </c>
      <c r="AL64" s="246">
        <f t="shared" si="43"/>
        <v>107646.52748574218</v>
      </c>
    </row>
    <row r="65" spans="2:38" x14ac:dyDescent="0.2">
      <c r="B65" s="232" t="s">
        <v>380</v>
      </c>
      <c r="C65" s="237">
        <f t="shared" si="33"/>
        <v>641359.85859333887</v>
      </c>
      <c r="D65" s="237">
        <f>D61+D63</f>
        <v>0</v>
      </c>
      <c r="E65" s="237">
        <f t="shared" ref="E65:AG65" si="44">E61+E63</f>
        <v>0</v>
      </c>
      <c r="F65" s="237">
        <f t="shared" si="44"/>
        <v>0</v>
      </c>
      <c r="G65" s="237">
        <f t="shared" si="44"/>
        <v>13911.363001366111</v>
      </c>
      <c r="H65" s="237">
        <f t="shared" si="44"/>
        <v>13911.363001366111</v>
      </c>
      <c r="I65" s="237">
        <f t="shared" si="44"/>
        <v>13911.363001366111</v>
      </c>
      <c r="J65" s="237">
        <f t="shared" si="44"/>
        <v>13911.363001366111</v>
      </c>
      <c r="K65" s="237">
        <f t="shared" si="44"/>
        <v>13911.363001366111</v>
      </c>
      <c r="L65" s="237">
        <f t="shared" si="44"/>
        <v>13911.363001366111</v>
      </c>
      <c r="M65" s="237">
        <f t="shared" si="44"/>
        <v>13911.363001366111</v>
      </c>
      <c r="N65" s="237">
        <f t="shared" si="44"/>
        <v>13911.363001366111</v>
      </c>
      <c r="O65" s="237">
        <f t="shared" si="44"/>
        <v>13911.363001366111</v>
      </c>
      <c r="P65" s="237">
        <f t="shared" si="44"/>
        <v>13911.363001366111</v>
      </c>
      <c r="Q65" s="237">
        <f t="shared" si="44"/>
        <v>13911.363001366111</v>
      </c>
      <c r="R65" s="237">
        <f t="shared" si="44"/>
        <v>13911.363001366111</v>
      </c>
      <c r="S65" s="237">
        <f t="shared" si="44"/>
        <v>13911.363001366111</v>
      </c>
      <c r="T65" s="237">
        <f t="shared" si="44"/>
        <v>13883.540275363379</v>
      </c>
      <c r="U65" s="237">
        <f t="shared" si="44"/>
        <v>13855.773194812655</v>
      </c>
      <c r="V65" s="237">
        <f t="shared" si="44"/>
        <v>13828.061648423029</v>
      </c>
      <c r="W65" s="237">
        <f t="shared" si="44"/>
        <v>13800.405525126183</v>
      </c>
      <c r="X65" s="237">
        <f t="shared" si="44"/>
        <v>13772.80471407593</v>
      </c>
      <c r="Y65" s="237">
        <f t="shared" si="44"/>
        <v>13745.259104647779</v>
      </c>
      <c r="Z65" s="237">
        <f t="shared" si="44"/>
        <v>13717.768586438482</v>
      </c>
      <c r="AA65" s="237">
        <f t="shared" si="44"/>
        <v>13690.333049265602</v>
      </c>
      <c r="AB65" s="237">
        <f t="shared" si="44"/>
        <v>13662.952383167074</v>
      </c>
      <c r="AC65" s="237">
        <f t="shared" si="44"/>
        <v>13635.62647840074</v>
      </c>
      <c r="AD65" s="237">
        <f t="shared" si="44"/>
        <v>13608.355225443938</v>
      </c>
      <c r="AE65" s="237">
        <f t="shared" si="44"/>
        <v>13581.13851499305</v>
      </c>
      <c r="AF65" s="237">
        <f t="shared" si="44"/>
        <v>13553.976237963061</v>
      </c>
      <c r="AG65" s="237">
        <f t="shared" si="44"/>
        <v>13526.868285487137</v>
      </c>
      <c r="AH65" s="237">
        <f t="shared" ref="AH65:AL65" si="45">AH61+AH63</f>
        <v>26999.629097832327</v>
      </c>
      <c r="AI65" s="237">
        <f t="shared" si="45"/>
        <v>40418.444759454986</v>
      </c>
      <c r="AJ65" s="237">
        <f t="shared" si="45"/>
        <v>53783.477159914786</v>
      </c>
      <c r="AK65" s="237">
        <f t="shared" si="45"/>
        <v>67094.887756993689</v>
      </c>
      <c r="AL65" s="237">
        <f t="shared" si="45"/>
        <v>80352.83757777563</v>
      </c>
    </row>
    <row r="66" spans="2:38" x14ac:dyDescent="0.2">
      <c r="B66" s="232" t="s">
        <v>381</v>
      </c>
      <c r="C66" s="240">
        <f t="shared" si="33"/>
        <v>41307.086360118767</v>
      </c>
      <c r="D66" s="240">
        <f t="shared" ref="D66:AG66" si="46">D62</f>
        <v>0</v>
      </c>
      <c r="E66" s="240">
        <f t="shared" si="46"/>
        <v>0</v>
      </c>
      <c r="F66" s="240">
        <f t="shared" si="46"/>
        <v>0</v>
      </c>
      <c r="G66" s="240">
        <f t="shared" si="46"/>
        <v>895.96794246636227</v>
      </c>
      <c r="H66" s="240">
        <f t="shared" si="46"/>
        <v>895.96794246636227</v>
      </c>
      <c r="I66" s="240">
        <f t="shared" si="46"/>
        <v>895.96794246636227</v>
      </c>
      <c r="J66" s="240">
        <f t="shared" si="46"/>
        <v>895.96794246636227</v>
      </c>
      <c r="K66" s="240">
        <f t="shared" si="46"/>
        <v>895.96794246636227</v>
      </c>
      <c r="L66" s="240">
        <f t="shared" si="46"/>
        <v>895.96794246636227</v>
      </c>
      <c r="M66" s="240">
        <f t="shared" si="46"/>
        <v>895.96794246636227</v>
      </c>
      <c r="N66" s="240">
        <f t="shared" si="46"/>
        <v>895.96794246636227</v>
      </c>
      <c r="O66" s="240">
        <f t="shared" si="46"/>
        <v>895.96794246636227</v>
      </c>
      <c r="P66" s="240">
        <f t="shared" si="46"/>
        <v>895.96794246636227</v>
      </c>
      <c r="Q66" s="240">
        <f t="shared" si="46"/>
        <v>895.96794246636227</v>
      </c>
      <c r="R66" s="240">
        <f t="shared" si="46"/>
        <v>895.96794246636227</v>
      </c>
      <c r="S66" s="240">
        <f t="shared" si="46"/>
        <v>895.96794246636227</v>
      </c>
      <c r="T66" s="240">
        <f t="shared" si="46"/>
        <v>894.17600658142965</v>
      </c>
      <c r="U66" s="240">
        <f t="shared" si="46"/>
        <v>892.38765456826684</v>
      </c>
      <c r="V66" s="240">
        <f t="shared" si="46"/>
        <v>890.60287925913019</v>
      </c>
      <c r="W66" s="240">
        <f t="shared" si="46"/>
        <v>888.82167350061206</v>
      </c>
      <c r="X66" s="240">
        <f t="shared" si="46"/>
        <v>887.04403015361083</v>
      </c>
      <c r="Y66" s="240">
        <f t="shared" si="46"/>
        <v>885.2699420933036</v>
      </c>
      <c r="Z66" s="240">
        <f t="shared" si="46"/>
        <v>883.49940220911685</v>
      </c>
      <c r="AA66" s="240">
        <f t="shared" si="46"/>
        <v>881.73240340469863</v>
      </c>
      <c r="AB66" s="240">
        <f t="shared" si="46"/>
        <v>879.96893859788918</v>
      </c>
      <c r="AC66" s="240">
        <f t="shared" si="46"/>
        <v>878.20900072069344</v>
      </c>
      <c r="AD66" s="240">
        <f t="shared" si="46"/>
        <v>876.45258271925218</v>
      </c>
      <c r="AE66" s="240">
        <f t="shared" si="46"/>
        <v>874.69967755381344</v>
      </c>
      <c r="AF66" s="240">
        <f t="shared" si="46"/>
        <v>872.95027819870575</v>
      </c>
      <c r="AG66" s="240">
        <f t="shared" si="46"/>
        <v>871.20437764230837</v>
      </c>
      <c r="AH66" s="240">
        <f t="shared" ref="AH66:AL66" si="47">AH62</f>
        <v>1738.9239377740475</v>
      </c>
      <c r="AI66" s="240">
        <f t="shared" si="47"/>
        <v>2603.1691348477493</v>
      </c>
      <c r="AJ66" s="240">
        <f t="shared" si="47"/>
        <v>3463.9503954374059</v>
      </c>
      <c r="AK66" s="240">
        <f t="shared" si="47"/>
        <v>4321.2781183081634</v>
      </c>
      <c r="AL66" s="240">
        <f t="shared" si="47"/>
        <v>5175.1626744858559</v>
      </c>
    </row>
    <row r="67" spans="2:38" x14ac:dyDescent="0.2"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  <c r="R67" s="247"/>
      <c r="S67" s="247"/>
      <c r="T67" s="247"/>
      <c r="U67" s="247"/>
      <c r="V67" s="247"/>
      <c r="W67" s="247"/>
      <c r="X67" s="247"/>
      <c r="Y67" s="247"/>
      <c r="Z67" s="247"/>
      <c r="AA67" s="247"/>
      <c r="AB67" s="247"/>
      <c r="AC67" s="247"/>
      <c r="AD67" s="247"/>
      <c r="AE67" s="247"/>
      <c r="AF67" s="247"/>
      <c r="AG67" s="247"/>
      <c r="AH67" s="247"/>
      <c r="AI67" s="247"/>
      <c r="AJ67" s="247"/>
      <c r="AK67" s="247"/>
      <c r="AL67" s="247"/>
    </row>
    <row r="69" spans="2:38" x14ac:dyDescent="0.2">
      <c r="B69" s="234" t="s">
        <v>426</v>
      </c>
      <c r="C69" s="253" t="s">
        <v>9</v>
      </c>
    </row>
    <row r="70" spans="2:38" x14ac:dyDescent="0.2">
      <c r="B70" s="248" t="s">
        <v>108</v>
      </c>
      <c r="C70" s="237">
        <f>SUM(D70:AL70)</f>
        <v>518105.1314141177</v>
      </c>
      <c r="D70" s="237">
        <f>D64*Parametre!$C$180</f>
        <v>0</v>
      </c>
      <c r="E70" s="237">
        <f>E64*Parametre!$C$180</f>
        <v>0</v>
      </c>
      <c r="F70" s="237">
        <f>F64*Parametre!$C$180</f>
        <v>0</v>
      </c>
      <c r="G70" s="237">
        <f>G64*Parametre!$C$180</f>
        <v>11237.916529076552</v>
      </c>
      <c r="H70" s="237">
        <f>H64*Parametre!$C$180</f>
        <v>11237.916529076552</v>
      </c>
      <c r="I70" s="237">
        <f>I64*Parametre!$C$180</f>
        <v>11237.916529076552</v>
      </c>
      <c r="J70" s="237">
        <f>J64*Parametre!$C$180</f>
        <v>11237.916529076552</v>
      </c>
      <c r="K70" s="237">
        <f>K64*Parametre!$C$180</f>
        <v>11237.916529076552</v>
      </c>
      <c r="L70" s="237">
        <f>L64*Parametre!$C$180</f>
        <v>11237.916529076552</v>
      </c>
      <c r="M70" s="237">
        <f>M64*Parametre!$C$180</f>
        <v>11237.916529076552</v>
      </c>
      <c r="N70" s="237">
        <f>N64*Parametre!$C$180</f>
        <v>11237.916529076552</v>
      </c>
      <c r="O70" s="237">
        <f>O64*Parametre!$C$180</f>
        <v>11237.916529076552</v>
      </c>
      <c r="P70" s="237">
        <f>P64*Parametre!$C$180</f>
        <v>11237.916529076552</v>
      </c>
      <c r="Q70" s="237">
        <f>Q64*Parametre!$C$180</f>
        <v>11237.916529076552</v>
      </c>
      <c r="R70" s="237">
        <f>R64*Parametre!$C$180</f>
        <v>11237.916529076552</v>
      </c>
      <c r="S70" s="237">
        <f>S64*Parametre!$C$180</f>
        <v>11237.916529076552</v>
      </c>
      <c r="T70" s="237">
        <f>T64*Parametre!$C$180</f>
        <v>11215.440696018399</v>
      </c>
      <c r="U70" s="237">
        <f>U64*Parametre!$C$180</f>
        <v>11193.009814626364</v>
      </c>
      <c r="V70" s="237">
        <f>V64*Parametre!$C$180</f>
        <v>11170.623794997111</v>
      </c>
      <c r="W70" s="237">
        <f>W64*Parametre!$C$180</f>
        <v>11148.282547407116</v>
      </c>
      <c r="X70" s="237">
        <f>X64*Parametre!$C$180</f>
        <v>11125.985982312302</v>
      </c>
      <c r="Y70" s="237">
        <f>Y64*Parametre!$C$180</f>
        <v>11103.73401034768</v>
      </c>
      <c r="Z70" s="237">
        <f>Z64*Parametre!$C$180</f>
        <v>11081.526542326981</v>
      </c>
      <c r="AA70" s="237">
        <f>AA64*Parametre!$C$180</f>
        <v>11059.363489242323</v>
      </c>
      <c r="AB70" s="237">
        <f>AB64*Parametre!$C$180</f>
        <v>11037.244762263841</v>
      </c>
      <c r="AC70" s="237">
        <f>AC64*Parametre!$C$180</f>
        <v>11015.170272739315</v>
      </c>
      <c r="AD70" s="237">
        <f>AD64*Parametre!$C$180</f>
        <v>10993.139932193835</v>
      </c>
      <c r="AE70" s="237">
        <f>AE64*Parametre!$C$180</f>
        <v>10971.153652329451</v>
      </c>
      <c r="AF70" s="237">
        <f>AF64*Parametre!$C$180</f>
        <v>10949.211345024787</v>
      </c>
      <c r="AG70" s="237">
        <f>AG64*Parametre!$C$180</f>
        <v>10927.312922334739</v>
      </c>
      <c r="AH70" s="237">
        <f>AH64*Parametre!$C$180</f>
        <v>21810.916592980138</v>
      </c>
      <c r="AI70" s="237">
        <f>AI64*Parametre!$C$180</f>
        <v>32650.942139691269</v>
      </c>
      <c r="AJ70" s="237">
        <f>AJ64*Parametre!$C$180</f>
        <v>43447.520340549192</v>
      </c>
      <c r="AK70" s="237">
        <f>AK64*Parametre!$C$180</f>
        <v>54200.781624835101</v>
      </c>
      <c r="AL70" s="237">
        <f>AL64*Parametre!$C$180</f>
        <v>64910.856073902527</v>
      </c>
    </row>
    <row r="71" spans="2:38" x14ac:dyDescent="0.2">
      <c r="B71" s="248" t="s">
        <v>109</v>
      </c>
      <c r="C71" s="237">
        <f>SUM(D71:AL71)</f>
        <v>418807.98766145029</v>
      </c>
      <c r="D71" s="237">
        <f>D65*Parametre!$C$181</f>
        <v>0</v>
      </c>
      <c r="E71" s="237">
        <f>E65*Parametre!$C$181</f>
        <v>0</v>
      </c>
      <c r="F71" s="237">
        <f>F65*Parametre!$C$181</f>
        <v>0</v>
      </c>
      <c r="G71" s="237">
        <f>G65*Parametre!$C$181</f>
        <v>9084.1200398920719</v>
      </c>
      <c r="H71" s="237">
        <f>H65*Parametre!$C$181</f>
        <v>9084.1200398920719</v>
      </c>
      <c r="I71" s="237">
        <f>I65*Parametre!$C$181</f>
        <v>9084.1200398920719</v>
      </c>
      <c r="J71" s="237">
        <f>J65*Parametre!$C$181</f>
        <v>9084.1200398920719</v>
      </c>
      <c r="K71" s="237">
        <f>K65*Parametre!$C$181</f>
        <v>9084.1200398920719</v>
      </c>
      <c r="L71" s="237">
        <f>L65*Parametre!$C$181</f>
        <v>9084.1200398920719</v>
      </c>
      <c r="M71" s="237">
        <f>M65*Parametre!$C$181</f>
        <v>9084.1200398920719</v>
      </c>
      <c r="N71" s="237">
        <f>N65*Parametre!$C$181</f>
        <v>9084.1200398920719</v>
      </c>
      <c r="O71" s="237">
        <f>O65*Parametre!$C$181</f>
        <v>9084.1200398920719</v>
      </c>
      <c r="P71" s="237">
        <f>P65*Parametre!$C$181</f>
        <v>9084.1200398920719</v>
      </c>
      <c r="Q71" s="237">
        <f>Q65*Parametre!$C$181</f>
        <v>9084.1200398920719</v>
      </c>
      <c r="R71" s="237">
        <f>R65*Parametre!$C$181</f>
        <v>9084.1200398920719</v>
      </c>
      <c r="S71" s="237">
        <f>S65*Parametre!$C$181</f>
        <v>9084.1200398920719</v>
      </c>
      <c r="T71" s="237">
        <f>T65*Parametre!$C$181</f>
        <v>9065.9517998122865</v>
      </c>
      <c r="U71" s="237">
        <f>U65*Parametre!$C$181</f>
        <v>9047.8198962126644</v>
      </c>
      <c r="V71" s="237">
        <f>V65*Parametre!$C$181</f>
        <v>9029.7242564202388</v>
      </c>
      <c r="W71" s="237">
        <f>W65*Parametre!$C$181</f>
        <v>9011.6648079073984</v>
      </c>
      <c r="X71" s="237">
        <f>X65*Parametre!$C$181</f>
        <v>8993.6414782915817</v>
      </c>
      <c r="Y71" s="237">
        <f>Y65*Parametre!$C$181</f>
        <v>8975.6541953350006</v>
      </c>
      <c r="Z71" s="237">
        <f>Z65*Parametre!$C$181</f>
        <v>8957.7028869443293</v>
      </c>
      <c r="AA71" s="237">
        <f>AA65*Parametre!$C$181</f>
        <v>8939.7874811704387</v>
      </c>
      <c r="AB71" s="237">
        <f>AB65*Parametre!$C$181</f>
        <v>8921.9079062081</v>
      </c>
      <c r="AC71" s="237">
        <f>AC65*Parametre!$C$181</f>
        <v>8904.0640903956828</v>
      </c>
      <c r="AD71" s="237">
        <f>AD65*Parametre!$C$181</f>
        <v>8886.2559622148929</v>
      </c>
      <c r="AE71" s="237">
        <f>AE65*Parametre!$C$181</f>
        <v>8868.4834502904614</v>
      </c>
      <c r="AF71" s="237">
        <f>AF65*Parametre!$C$181</f>
        <v>8850.7464833898794</v>
      </c>
      <c r="AG71" s="237">
        <f>AG65*Parametre!$C$181</f>
        <v>8833.0449904231009</v>
      </c>
      <c r="AH71" s="237">
        <f>AH65*Parametre!$C$181</f>
        <v>17630.757800884508</v>
      </c>
      <c r="AI71" s="237">
        <f>AI65*Parametre!$C$181</f>
        <v>26393.244427924106</v>
      </c>
      <c r="AJ71" s="237">
        <f>AJ65*Parametre!$C$181</f>
        <v>35120.610585424358</v>
      </c>
      <c r="AK71" s="237">
        <f>AK65*Parametre!$C$181</f>
        <v>43812.961705316877</v>
      </c>
      <c r="AL71" s="237">
        <f>AL65*Parametre!$C$181</f>
        <v>52470.402938287487</v>
      </c>
    </row>
    <row r="72" spans="2:38" x14ac:dyDescent="0.2">
      <c r="B72" s="232" t="s">
        <v>301</v>
      </c>
      <c r="C72" s="237">
        <f>SUM(D72:AL72)</f>
        <v>8344.0314447439923</v>
      </c>
      <c r="D72" s="249">
        <f>D66*Parametre!$C$182</f>
        <v>0</v>
      </c>
      <c r="E72" s="249">
        <f>E66*Parametre!$C$182</f>
        <v>0</v>
      </c>
      <c r="F72" s="249">
        <f>F66*Parametre!$C$182</f>
        <v>0</v>
      </c>
      <c r="G72" s="249">
        <f>G66*Parametre!$C$182</f>
        <v>180.98552437820518</v>
      </c>
      <c r="H72" s="249">
        <f>H66*Parametre!$C$182</f>
        <v>180.98552437820518</v>
      </c>
      <c r="I72" s="249">
        <f>I66*Parametre!$C$182</f>
        <v>180.98552437820518</v>
      </c>
      <c r="J72" s="249">
        <f>J66*Parametre!$C$182</f>
        <v>180.98552437820518</v>
      </c>
      <c r="K72" s="249">
        <f>K66*Parametre!$C$182</f>
        <v>180.98552437820518</v>
      </c>
      <c r="L72" s="249">
        <f>L66*Parametre!$C$182</f>
        <v>180.98552437820518</v>
      </c>
      <c r="M72" s="249">
        <f>M66*Parametre!$C$182</f>
        <v>180.98552437820518</v>
      </c>
      <c r="N72" s="249">
        <f>N66*Parametre!$C$182</f>
        <v>180.98552437820518</v>
      </c>
      <c r="O72" s="249">
        <f>O66*Parametre!$C$182</f>
        <v>180.98552437820518</v>
      </c>
      <c r="P72" s="249">
        <f>P66*Parametre!$C$182</f>
        <v>180.98552437820518</v>
      </c>
      <c r="Q72" s="249">
        <f>Q66*Parametre!$C$182</f>
        <v>180.98552437820518</v>
      </c>
      <c r="R72" s="249">
        <f>R66*Parametre!$C$182</f>
        <v>180.98552437820518</v>
      </c>
      <c r="S72" s="249">
        <f>S66*Parametre!$C$182</f>
        <v>180.98552437820518</v>
      </c>
      <c r="T72" s="249">
        <f>T66*Parametre!$C$182</f>
        <v>180.62355332944881</v>
      </c>
      <c r="U72" s="249">
        <f>U66*Parametre!$C$182</f>
        <v>180.2623062227899</v>
      </c>
      <c r="V72" s="249">
        <f>V66*Parametre!$C$182</f>
        <v>179.9017816103443</v>
      </c>
      <c r="W72" s="249">
        <f>W66*Parametre!$C$182</f>
        <v>179.54197804712365</v>
      </c>
      <c r="X72" s="249">
        <f>X66*Parametre!$C$182</f>
        <v>179.1828940910294</v>
      </c>
      <c r="Y72" s="249">
        <f>Y66*Parametre!$C$182</f>
        <v>178.82452830284734</v>
      </c>
      <c r="Z72" s="249">
        <f>Z66*Parametre!$C$182</f>
        <v>178.4668792462416</v>
      </c>
      <c r="AA72" s="249">
        <f>AA66*Parametre!$C$182</f>
        <v>178.10994548774914</v>
      </c>
      <c r="AB72" s="249">
        <f>AB66*Parametre!$C$182</f>
        <v>177.75372559677362</v>
      </c>
      <c r="AC72" s="249">
        <f>AC66*Parametre!$C$182</f>
        <v>177.39821814558007</v>
      </c>
      <c r="AD72" s="249">
        <f>AD66*Parametre!$C$182</f>
        <v>177.04342170928896</v>
      </c>
      <c r="AE72" s="249">
        <f>AE66*Parametre!$C$182</f>
        <v>176.68933486587034</v>
      </c>
      <c r="AF72" s="249">
        <f>AF66*Parametre!$C$182</f>
        <v>176.33595619613857</v>
      </c>
      <c r="AG72" s="249">
        <f>AG66*Parametre!$C$182</f>
        <v>175.98328428374631</v>
      </c>
      <c r="AH72" s="249">
        <f>AH66*Parametre!$C$182</f>
        <v>351.26263543035765</v>
      </c>
      <c r="AI72" s="249">
        <f>AI66*Parametre!$C$182</f>
        <v>525.84016523924538</v>
      </c>
      <c r="AJ72" s="249">
        <f>AJ66*Parametre!$C$182</f>
        <v>699.717979878356</v>
      </c>
      <c r="AK72" s="249">
        <f>AK66*Parametre!$C$182</f>
        <v>872.89817989824905</v>
      </c>
      <c r="AL72" s="249">
        <f>AL66*Parametre!$C$182</f>
        <v>1045.3828602461429</v>
      </c>
    </row>
    <row r="73" spans="2:38" x14ac:dyDescent="0.2">
      <c r="B73" s="250" t="s">
        <v>9</v>
      </c>
      <c r="C73" s="251">
        <f>SUM(D73:AL73)</f>
        <v>945257.15052031202</v>
      </c>
      <c r="D73" s="252">
        <f>SUM(D70:D72)</f>
        <v>0</v>
      </c>
      <c r="E73" s="252">
        <f t="shared" ref="E73:AG73" si="48">SUM(E70:E72)</f>
        <v>0</v>
      </c>
      <c r="F73" s="252">
        <f t="shared" si="48"/>
        <v>0</v>
      </c>
      <c r="G73" s="252">
        <f t="shared" si="48"/>
        <v>20503.022093346826</v>
      </c>
      <c r="H73" s="252">
        <f t="shared" si="48"/>
        <v>20503.022093346826</v>
      </c>
      <c r="I73" s="252">
        <f t="shared" si="48"/>
        <v>20503.022093346826</v>
      </c>
      <c r="J73" s="252">
        <f t="shared" si="48"/>
        <v>20503.022093346826</v>
      </c>
      <c r="K73" s="252">
        <f t="shared" si="48"/>
        <v>20503.022093346826</v>
      </c>
      <c r="L73" s="252">
        <f t="shared" si="48"/>
        <v>20503.022093346826</v>
      </c>
      <c r="M73" s="252">
        <f t="shared" si="48"/>
        <v>20503.022093346826</v>
      </c>
      <c r="N73" s="252">
        <f t="shared" si="48"/>
        <v>20503.022093346826</v>
      </c>
      <c r="O73" s="252">
        <f t="shared" si="48"/>
        <v>20503.022093346826</v>
      </c>
      <c r="P73" s="252">
        <f t="shared" si="48"/>
        <v>20503.022093346826</v>
      </c>
      <c r="Q73" s="252">
        <f t="shared" si="48"/>
        <v>20503.022093346826</v>
      </c>
      <c r="R73" s="252">
        <f t="shared" si="48"/>
        <v>20503.022093346826</v>
      </c>
      <c r="S73" s="252">
        <f t="shared" si="48"/>
        <v>20503.022093346826</v>
      </c>
      <c r="T73" s="252">
        <f t="shared" si="48"/>
        <v>20462.016049160135</v>
      </c>
      <c r="U73" s="252">
        <f t="shared" si="48"/>
        <v>20421.092017061819</v>
      </c>
      <c r="V73" s="252">
        <f t="shared" si="48"/>
        <v>20380.249833027694</v>
      </c>
      <c r="W73" s="252">
        <f t="shared" si="48"/>
        <v>20339.489333361638</v>
      </c>
      <c r="X73" s="252">
        <f t="shared" si="48"/>
        <v>20298.810354694917</v>
      </c>
      <c r="Y73" s="252">
        <f t="shared" si="48"/>
        <v>20258.212733985529</v>
      </c>
      <c r="Z73" s="252">
        <f t="shared" si="48"/>
        <v>20217.696308517552</v>
      </c>
      <c r="AA73" s="252">
        <f t="shared" si="48"/>
        <v>20177.260915900508</v>
      </c>
      <c r="AB73" s="252">
        <f t="shared" si="48"/>
        <v>20136.906394068716</v>
      </c>
      <c r="AC73" s="252">
        <f t="shared" si="48"/>
        <v>20096.632581280577</v>
      </c>
      <c r="AD73" s="252">
        <f t="shared" si="48"/>
        <v>20056.439316118016</v>
      </c>
      <c r="AE73" s="252">
        <f t="shared" si="48"/>
        <v>20016.326437485783</v>
      </c>
      <c r="AF73" s="252">
        <f t="shared" si="48"/>
        <v>19976.293784610803</v>
      </c>
      <c r="AG73" s="252">
        <f t="shared" si="48"/>
        <v>19936.341197041587</v>
      </c>
      <c r="AH73" s="252">
        <f t="shared" ref="AH73:AL73" si="49">SUM(AH70:AH72)</f>
        <v>39792.937029295004</v>
      </c>
      <c r="AI73" s="252">
        <f t="shared" si="49"/>
        <v>59570.026732854618</v>
      </c>
      <c r="AJ73" s="252">
        <f t="shared" si="49"/>
        <v>79267.848905851919</v>
      </c>
      <c r="AK73" s="252">
        <f t="shared" si="49"/>
        <v>98886.64151005022</v>
      </c>
      <c r="AL73" s="252">
        <f t="shared" si="49"/>
        <v>118426.64187243616</v>
      </c>
    </row>
    <row r="76" spans="2:38" x14ac:dyDescent="0.2">
      <c r="B76" s="234" t="s">
        <v>427</v>
      </c>
      <c r="C76" s="253" t="s">
        <v>9</v>
      </c>
    </row>
    <row r="77" spans="2:38" x14ac:dyDescent="0.2">
      <c r="B77" s="248" t="s">
        <v>108</v>
      </c>
      <c r="C77" s="237">
        <f>SUM(D77:AL77)</f>
        <v>4489856.4848513408</v>
      </c>
      <c r="D77" s="237">
        <f t="shared" ref="D77:AL77" si="50">D33+D70</f>
        <v>0</v>
      </c>
      <c r="E77" s="237">
        <f t="shared" si="50"/>
        <v>0</v>
      </c>
      <c r="F77" s="237">
        <f t="shared" si="50"/>
        <v>0</v>
      </c>
      <c r="G77" s="237">
        <f t="shared" si="50"/>
        <v>97386.860976605167</v>
      </c>
      <c r="H77" s="237">
        <f t="shared" si="50"/>
        <v>97386.860976605167</v>
      </c>
      <c r="I77" s="237">
        <f t="shared" si="50"/>
        <v>97386.860976605167</v>
      </c>
      <c r="J77" s="237">
        <f t="shared" si="50"/>
        <v>97386.860976605167</v>
      </c>
      <c r="K77" s="237">
        <f t="shared" si="50"/>
        <v>97386.860976605167</v>
      </c>
      <c r="L77" s="237">
        <f t="shared" si="50"/>
        <v>97386.860976605167</v>
      </c>
      <c r="M77" s="237">
        <f t="shared" si="50"/>
        <v>97386.860976605167</v>
      </c>
      <c r="N77" s="237">
        <f t="shared" si="50"/>
        <v>97386.860976605167</v>
      </c>
      <c r="O77" s="237">
        <f t="shared" si="50"/>
        <v>97386.860976605167</v>
      </c>
      <c r="P77" s="237">
        <f t="shared" si="50"/>
        <v>97386.860976605167</v>
      </c>
      <c r="Q77" s="237">
        <f t="shared" si="50"/>
        <v>97386.860976605167</v>
      </c>
      <c r="R77" s="237">
        <f t="shared" si="50"/>
        <v>97386.860976605167</v>
      </c>
      <c r="S77" s="237">
        <f t="shared" si="50"/>
        <v>97386.860976605167</v>
      </c>
      <c r="T77" s="237">
        <f t="shared" si="50"/>
        <v>97192.087254651939</v>
      </c>
      <c r="U77" s="237">
        <f t="shared" si="50"/>
        <v>96997.703080142644</v>
      </c>
      <c r="V77" s="237">
        <f t="shared" si="50"/>
        <v>96803.707673982368</v>
      </c>
      <c r="W77" s="237">
        <f t="shared" si="50"/>
        <v>96610.100258634411</v>
      </c>
      <c r="X77" s="237">
        <f t="shared" si="50"/>
        <v>96416.880058117138</v>
      </c>
      <c r="Y77" s="237">
        <f t="shared" si="50"/>
        <v>96224.046298000889</v>
      </c>
      <c r="Z77" s="237">
        <f t="shared" si="50"/>
        <v>96031.59820540488</v>
      </c>
      <c r="AA77" s="237">
        <f t="shared" si="50"/>
        <v>95839.535008994062</v>
      </c>
      <c r="AB77" s="237">
        <f t="shared" si="50"/>
        <v>95647.855938976078</v>
      </c>
      <c r="AC77" s="237">
        <f t="shared" si="50"/>
        <v>95456.560227098147</v>
      </c>
      <c r="AD77" s="237">
        <f t="shared" si="50"/>
        <v>95265.647106643926</v>
      </c>
      <c r="AE77" s="237">
        <f t="shared" si="50"/>
        <v>95075.115812430653</v>
      </c>
      <c r="AF77" s="237">
        <f t="shared" si="50"/>
        <v>94884.965580805772</v>
      </c>
      <c r="AG77" s="237">
        <f t="shared" si="50"/>
        <v>94695.195649644156</v>
      </c>
      <c r="AH77" s="237">
        <f t="shared" si="50"/>
        <v>189011.61051668978</v>
      </c>
      <c r="AI77" s="237">
        <f t="shared" si="50"/>
        <v>282950.3809434846</v>
      </c>
      <c r="AJ77" s="237">
        <f t="shared" si="50"/>
        <v>376512.64024213026</v>
      </c>
      <c r="AK77" s="237">
        <f t="shared" si="50"/>
        <v>469699.51870205736</v>
      </c>
      <c r="AL77" s="237">
        <f t="shared" si="50"/>
        <v>562512.14359758387</v>
      </c>
    </row>
    <row r="78" spans="2:38" x14ac:dyDescent="0.2">
      <c r="B78" s="248" t="s">
        <v>109</v>
      </c>
      <c r="C78" s="237">
        <f>SUM(D78:AL78)</f>
        <v>3540562.4818772734</v>
      </c>
      <c r="D78" s="237">
        <f t="shared" ref="D78:AL78" si="51">D34+D71</f>
        <v>0</v>
      </c>
      <c r="E78" s="237">
        <f t="shared" si="51"/>
        <v>0</v>
      </c>
      <c r="F78" s="237">
        <f t="shared" si="51"/>
        <v>0</v>
      </c>
      <c r="G78" s="237">
        <f t="shared" si="51"/>
        <v>76796.277868775287</v>
      </c>
      <c r="H78" s="237">
        <f t="shared" si="51"/>
        <v>76796.277868775287</v>
      </c>
      <c r="I78" s="237">
        <f t="shared" si="51"/>
        <v>76796.277868775287</v>
      </c>
      <c r="J78" s="237">
        <f t="shared" si="51"/>
        <v>76796.277868775287</v>
      </c>
      <c r="K78" s="237">
        <f t="shared" si="51"/>
        <v>76796.277868775287</v>
      </c>
      <c r="L78" s="237">
        <f t="shared" si="51"/>
        <v>76796.277868775287</v>
      </c>
      <c r="M78" s="237">
        <f t="shared" si="51"/>
        <v>76796.277868775287</v>
      </c>
      <c r="N78" s="237">
        <f t="shared" si="51"/>
        <v>76796.277868775287</v>
      </c>
      <c r="O78" s="237">
        <f t="shared" si="51"/>
        <v>76796.277868775287</v>
      </c>
      <c r="P78" s="237">
        <f t="shared" si="51"/>
        <v>76796.277868775287</v>
      </c>
      <c r="Q78" s="237">
        <f t="shared" si="51"/>
        <v>76796.277868775287</v>
      </c>
      <c r="R78" s="237">
        <f t="shared" si="51"/>
        <v>76796.277868775287</v>
      </c>
      <c r="S78" s="237">
        <f t="shared" si="51"/>
        <v>76796.277868775287</v>
      </c>
      <c r="T78" s="237">
        <f t="shared" si="51"/>
        <v>76642.685313037742</v>
      </c>
      <c r="U78" s="237">
        <f t="shared" si="51"/>
        <v>76489.399942411663</v>
      </c>
      <c r="V78" s="237">
        <f t="shared" si="51"/>
        <v>76336.421142526844</v>
      </c>
      <c r="W78" s="237">
        <f t="shared" si="51"/>
        <v>76183.748300241787</v>
      </c>
      <c r="X78" s="237">
        <f t="shared" si="51"/>
        <v>76031.38080364131</v>
      </c>
      <c r="Y78" s="237">
        <f t="shared" si="51"/>
        <v>75879.318042034021</v>
      </c>
      <c r="Z78" s="237">
        <f t="shared" si="51"/>
        <v>75727.559405949942</v>
      </c>
      <c r="AA78" s="237">
        <f t="shared" si="51"/>
        <v>75576.104287138049</v>
      </c>
      <c r="AB78" s="237">
        <f t="shared" si="51"/>
        <v>75424.952078563758</v>
      </c>
      <c r="AC78" s="237">
        <f t="shared" si="51"/>
        <v>75274.102174406638</v>
      </c>
      <c r="AD78" s="237">
        <f t="shared" si="51"/>
        <v>75123.553970057823</v>
      </c>
      <c r="AE78" s="237">
        <f t="shared" si="51"/>
        <v>74973.306862117694</v>
      </c>
      <c r="AF78" s="237">
        <f t="shared" si="51"/>
        <v>74823.360248393466</v>
      </c>
      <c r="AG78" s="237">
        <f t="shared" si="51"/>
        <v>74673.713527896689</v>
      </c>
      <c r="AH78" s="237">
        <f t="shared" si="51"/>
        <v>149048.73220168179</v>
      </c>
      <c r="AI78" s="237">
        <f t="shared" si="51"/>
        <v>223125.95210591765</v>
      </c>
      <c r="AJ78" s="237">
        <f t="shared" si="51"/>
        <v>296906.26693560783</v>
      </c>
      <c r="AK78" s="237">
        <f t="shared" si="51"/>
        <v>370390.56800217065</v>
      </c>
      <c r="AL78" s="237">
        <f t="shared" si="51"/>
        <v>443579.74423939956</v>
      </c>
    </row>
    <row r="79" spans="2:38" x14ac:dyDescent="0.2">
      <c r="B79" s="232" t="s">
        <v>301</v>
      </c>
      <c r="C79" s="237">
        <f>SUM(D79:AL79)</f>
        <v>7752142.6796674905</v>
      </c>
      <c r="D79" s="240">
        <f t="shared" ref="D79:AL79" si="52">D35+D72</f>
        <v>0</v>
      </c>
      <c r="E79" s="240">
        <f t="shared" si="52"/>
        <v>0</v>
      </c>
      <c r="F79" s="240">
        <f t="shared" si="52"/>
        <v>0</v>
      </c>
      <c r="G79" s="240">
        <f t="shared" si="52"/>
        <v>168147.21004174414</v>
      </c>
      <c r="H79" s="240">
        <f t="shared" si="52"/>
        <v>168147.21004174414</v>
      </c>
      <c r="I79" s="240">
        <f t="shared" si="52"/>
        <v>168147.21004174414</v>
      </c>
      <c r="J79" s="240">
        <f t="shared" si="52"/>
        <v>168147.21004174414</v>
      </c>
      <c r="K79" s="240">
        <f t="shared" si="52"/>
        <v>168147.21004174414</v>
      </c>
      <c r="L79" s="240">
        <f t="shared" si="52"/>
        <v>168147.21004174414</v>
      </c>
      <c r="M79" s="240">
        <f t="shared" si="52"/>
        <v>168147.21004174414</v>
      </c>
      <c r="N79" s="240">
        <f t="shared" si="52"/>
        <v>168147.21004174414</v>
      </c>
      <c r="O79" s="240">
        <f t="shared" si="52"/>
        <v>168147.21004174414</v>
      </c>
      <c r="P79" s="240">
        <f t="shared" si="52"/>
        <v>168147.21004174414</v>
      </c>
      <c r="Q79" s="240">
        <f t="shared" si="52"/>
        <v>168147.21004174414</v>
      </c>
      <c r="R79" s="240">
        <f t="shared" si="52"/>
        <v>168147.21004174414</v>
      </c>
      <c r="S79" s="240">
        <f t="shared" si="52"/>
        <v>168147.21004174414</v>
      </c>
      <c r="T79" s="240">
        <f t="shared" si="52"/>
        <v>167810.91562166065</v>
      </c>
      <c r="U79" s="240">
        <f t="shared" si="52"/>
        <v>167475.29379041737</v>
      </c>
      <c r="V79" s="240">
        <f t="shared" si="52"/>
        <v>167140.34320283652</v>
      </c>
      <c r="W79" s="240">
        <f t="shared" si="52"/>
        <v>166806.06251643086</v>
      </c>
      <c r="X79" s="240">
        <f t="shared" si="52"/>
        <v>166472.45039139802</v>
      </c>
      <c r="Y79" s="240">
        <f t="shared" si="52"/>
        <v>166139.50549061521</v>
      </c>
      <c r="Z79" s="240">
        <f t="shared" si="52"/>
        <v>165807.22647963394</v>
      </c>
      <c r="AA79" s="240">
        <f t="shared" si="52"/>
        <v>165475.61202667467</v>
      </c>
      <c r="AB79" s="240">
        <f t="shared" si="52"/>
        <v>165144.66080262131</v>
      </c>
      <c r="AC79" s="240">
        <f t="shared" si="52"/>
        <v>164814.3714810161</v>
      </c>
      <c r="AD79" s="240">
        <f t="shared" si="52"/>
        <v>164484.74273805405</v>
      </c>
      <c r="AE79" s="240">
        <f t="shared" si="52"/>
        <v>164155.77325257793</v>
      </c>
      <c r="AF79" s="240">
        <f t="shared" si="52"/>
        <v>163827.46170607276</v>
      </c>
      <c r="AG79" s="240">
        <f t="shared" si="52"/>
        <v>163499.80678266063</v>
      </c>
      <c r="AH79" s="240">
        <f t="shared" si="52"/>
        <v>326345.61433819064</v>
      </c>
      <c r="AI79" s="240">
        <f t="shared" si="52"/>
        <v>488539.38466427143</v>
      </c>
      <c r="AJ79" s="240">
        <f t="shared" si="52"/>
        <v>650083.07452659053</v>
      </c>
      <c r="AK79" s="240">
        <f t="shared" si="52"/>
        <v>810978.63547192165</v>
      </c>
      <c r="AL79" s="240">
        <f t="shared" si="52"/>
        <v>971228.0138411735</v>
      </c>
    </row>
    <row r="80" spans="2:38" x14ac:dyDescent="0.2">
      <c r="B80" s="254" t="s">
        <v>9</v>
      </c>
      <c r="C80" s="255">
        <f>SUM(D80:AL80)</f>
        <v>15782561.646396101</v>
      </c>
      <c r="D80" s="256">
        <f>SUM(D77:D79)</f>
        <v>0</v>
      </c>
      <c r="E80" s="256">
        <f t="shared" ref="E80:AL80" si="53">SUM(E77:E79)</f>
        <v>0</v>
      </c>
      <c r="F80" s="256">
        <f t="shared" si="53"/>
        <v>0</v>
      </c>
      <c r="G80" s="256">
        <f t="shared" si="53"/>
        <v>342330.34888712456</v>
      </c>
      <c r="H80" s="256">
        <f t="shared" si="53"/>
        <v>342330.34888712456</v>
      </c>
      <c r="I80" s="256">
        <f t="shared" si="53"/>
        <v>342330.34888712456</v>
      </c>
      <c r="J80" s="256">
        <f t="shared" si="53"/>
        <v>342330.34888712456</v>
      </c>
      <c r="K80" s="256">
        <f t="shared" si="53"/>
        <v>342330.34888712456</v>
      </c>
      <c r="L80" s="256">
        <f t="shared" si="53"/>
        <v>342330.34888712456</v>
      </c>
      <c r="M80" s="256">
        <f t="shared" si="53"/>
        <v>342330.34888712456</v>
      </c>
      <c r="N80" s="256">
        <f t="shared" si="53"/>
        <v>342330.34888712456</v>
      </c>
      <c r="O80" s="256">
        <f t="shared" si="53"/>
        <v>342330.34888712456</v>
      </c>
      <c r="P80" s="256">
        <f t="shared" si="53"/>
        <v>342330.34888712456</v>
      </c>
      <c r="Q80" s="256">
        <f t="shared" si="53"/>
        <v>342330.34888712456</v>
      </c>
      <c r="R80" s="256">
        <f t="shared" si="53"/>
        <v>342330.34888712456</v>
      </c>
      <c r="S80" s="256">
        <f t="shared" si="53"/>
        <v>342330.34888712456</v>
      </c>
      <c r="T80" s="256">
        <f t="shared" si="53"/>
        <v>341645.6881893503</v>
      </c>
      <c r="U80" s="256">
        <f t="shared" si="53"/>
        <v>340962.39681297168</v>
      </c>
      <c r="V80" s="256">
        <f t="shared" si="53"/>
        <v>340280.47201934573</v>
      </c>
      <c r="W80" s="256">
        <f t="shared" si="53"/>
        <v>339599.91107530706</v>
      </c>
      <c r="X80" s="256">
        <f t="shared" si="53"/>
        <v>338920.71125315642</v>
      </c>
      <c r="Y80" s="256">
        <f t="shared" si="53"/>
        <v>338242.8698306501</v>
      </c>
      <c r="Z80" s="256">
        <f t="shared" si="53"/>
        <v>337566.38409098878</v>
      </c>
      <c r="AA80" s="256">
        <f t="shared" si="53"/>
        <v>336891.25132280681</v>
      </c>
      <c r="AB80" s="256">
        <f t="shared" si="53"/>
        <v>336217.46882016119</v>
      </c>
      <c r="AC80" s="256">
        <f t="shared" si="53"/>
        <v>335545.03388252086</v>
      </c>
      <c r="AD80" s="256">
        <f t="shared" si="53"/>
        <v>334873.94381475577</v>
      </c>
      <c r="AE80" s="256">
        <f t="shared" si="53"/>
        <v>334204.19592712627</v>
      </c>
      <c r="AF80" s="256">
        <f t="shared" si="53"/>
        <v>333535.78753527196</v>
      </c>
      <c r="AG80" s="256">
        <f t="shared" si="53"/>
        <v>332868.71596020146</v>
      </c>
      <c r="AH80" s="256">
        <f t="shared" si="53"/>
        <v>664405.95705656218</v>
      </c>
      <c r="AI80" s="256">
        <f t="shared" si="53"/>
        <v>994615.7177136736</v>
      </c>
      <c r="AJ80" s="256">
        <f t="shared" si="53"/>
        <v>1323501.9817043287</v>
      </c>
      <c r="AK80" s="256">
        <f t="shared" si="53"/>
        <v>1651068.7221761497</v>
      </c>
      <c r="AL80" s="256">
        <f t="shared" si="53"/>
        <v>1977319.901678157</v>
      </c>
    </row>
    <row r="83" spans="2:38" x14ac:dyDescent="0.2">
      <c r="B83" s="234" t="s">
        <v>428</v>
      </c>
      <c r="C83" s="253" t="s">
        <v>9</v>
      </c>
    </row>
    <row r="84" spans="2:38" x14ac:dyDescent="0.2">
      <c r="B84" s="232" t="s">
        <v>376</v>
      </c>
      <c r="C84" s="237">
        <f>SUM(D84:AL84)</f>
        <v>5361022.6684792116</v>
      </c>
      <c r="D84" s="237">
        <f>(D23+D60)*Parametre!$C$98</f>
        <v>0</v>
      </c>
      <c r="E84" s="237">
        <f>(E23+E60)*Parametre!$C$98</f>
        <v>0</v>
      </c>
      <c r="F84" s="237">
        <f>(F23+F60)*Parametre!$C$98</f>
        <v>0</v>
      </c>
      <c r="G84" s="237">
        <f>(G23+G60)*Parametre!$C$98</f>
        <v>116282.81907654348</v>
      </c>
      <c r="H84" s="237">
        <f>(H23+H60)*Parametre!$C$98</f>
        <v>116282.81907654348</v>
      </c>
      <c r="I84" s="237">
        <f>(I23+I60)*Parametre!$C$98</f>
        <v>116282.81907654348</v>
      </c>
      <c r="J84" s="237">
        <f>(J23+J60)*Parametre!$C$98</f>
        <v>116282.81907654348</v>
      </c>
      <c r="K84" s="237">
        <f>(K23+K60)*Parametre!$C$98</f>
        <v>116282.81907654348</v>
      </c>
      <c r="L84" s="237">
        <f>(L23+L60)*Parametre!$C$98</f>
        <v>116282.81907654348</v>
      </c>
      <c r="M84" s="237">
        <f>(M23+M60)*Parametre!$C$98</f>
        <v>116282.81907654348</v>
      </c>
      <c r="N84" s="237">
        <f>(N23+N60)*Parametre!$C$98</f>
        <v>116282.81907654348</v>
      </c>
      <c r="O84" s="237">
        <f>(O23+O60)*Parametre!$C$98</f>
        <v>116282.81907654348</v>
      </c>
      <c r="P84" s="237">
        <f>(P23+P60)*Parametre!$C$98</f>
        <v>116282.81907654348</v>
      </c>
      <c r="Q84" s="237">
        <f>(Q23+Q60)*Parametre!$C$98</f>
        <v>116282.81907654348</v>
      </c>
      <c r="R84" s="237">
        <f>(R23+R60)*Parametre!$C$98</f>
        <v>116282.81907654348</v>
      </c>
      <c r="S84" s="237">
        <f>(S23+S60)*Parametre!$C$98</f>
        <v>116282.81907654348</v>
      </c>
      <c r="T84" s="237">
        <f>(T23+T60)*Parametre!$C$98</f>
        <v>116050.25343839037</v>
      </c>
      <c r="U84" s="237">
        <f>(U23+U60)*Parametre!$C$98</f>
        <v>115818.1529315136</v>
      </c>
      <c r="V84" s="237">
        <f>(V23+V60)*Parametre!$C$98</f>
        <v>115586.51662565059</v>
      </c>
      <c r="W84" s="237">
        <f>(W23+W60)*Parametre!$C$98</f>
        <v>115355.34359239929</v>
      </c>
      <c r="X84" s="237">
        <f>(X23+X60)*Parametre!$C$98</f>
        <v>115124.63290521449</v>
      </c>
      <c r="Y84" s="237">
        <f>(Y23+Y60)*Parametre!$C$98</f>
        <v>114894.38363940406</v>
      </c>
      <c r="Z84" s="237">
        <f>(Z23+Z60)*Parametre!$C$98</f>
        <v>114664.59487212522</v>
      </c>
      <c r="AA84" s="237">
        <f>(AA23+AA60)*Parametre!$C$98</f>
        <v>114435.26568238097</v>
      </c>
      <c r="AB84" s="237">
        <f>(AB23+AB60)*Parametre!$C$98</f>
        <v>114206.3951510162</v>
      </c>
      <c r="AC84" s="237">
        <f>(AC23+AC60)*Parametre!$C$98</f>
        <v>113977.9823607142</v>
      </c>
      <c r="AD84" s="237">
        <f>(AD23+AD60)*Parametre!$C$98</f>
        <v>113750.02639599275</v>
      </c>
      <c r="AE84" s="237">
        <f>(AE23+AE60)*Parametre!$C$98</f>
        <v>113522.52634320078</v>
      </c>
      <c r="AF84" s="237">
        <f>(AF23+AF60)*Parametre!$C$98</f>
        <v>113295.48129051436</v>
      </c>
      <c r="AG84" s="237">
        <f>(AG23+AG60)*Parametre!$C$98</f>
        <v>113068.89032793332</v>
      </c>
      <c r="AH84" s="237">
        <f>(AH23+AH60)*Parametre!$C$98</f>
        <v>225685.50509455492</v>
      </c>
      <c r="AI84" s="237">
        <f>(AI23+AI60)*Parametre!$C$98</f>
        <v>337851.20112654881</v>
      </c>
      <c r="AJ84" s="237">
        <f>(AJ23+AJ60)*Parametre!$C$98</f>
        <v>449567.33163239434</v>
      </c>
      <c r="AK84" s="237">
        <f>(AK23+AK60)*Parametre!$C$98</f>
        <v>560835.24621141178</v>
      </c>
      <c r="AL84" s="237">
        <f>(AL23+AL60)*Parametre!$C$98</f>
        <v>671656.29086278682</v>
      </c>
    </row>
    <row r="85" spans="2:38" x14ac:dyDescent="0.2">
      <c r="B85" s="232" t="s">
        <v>377</v>
      </c>
      <c r="C85" s="237">
        <f>SUM(D85:AL85)</f>
        <v>4446035.582142977</v>
      </c>
      <c r="D85" s="237">
        <f>(D24+D61)*Parametre!$C$99</f>
        <v>0</v>
      </c>
      <c r="E85" s="237">
        <f>(E24+E61)*Parametre!$C$99</f>
        <v>0</v>
      </c>
      <c r="F85" s="237">
        <f>(F24+F61)*Parametre!$C$99</f>
        <v>0</v>
      </c>
      <c r="G85" s="237">
        <f>(G24+G61)*Parametre!$C$99</f>
        <v>96436.367308416113</v>
      </c>
      <c r="H85" s="237">
        <f>(H24+H61)*Parametre!$C$99</f>
        <v>96436.367308416113</v>
      </c>
      <c r="I85" s="237">
        <f>(I24+I61)*Parametre!$C$99</f>
        <v>96436.367308416113</v>
      </c>
      <c r="J85" s="237">
        <f>(J24+J61)*Parametre!$C$99</f>
        <v>96436.367308416113</v>
      </c>
      <c r="K85" s="237">
        <f>(K24+K61)*Parametre!$C$99</f>
        <v>96436.367308416113</v>
      </c>
      <c r="L85" s="237">
        <f>(L24+L61)*Parametre!$C$99</f>
        <v>96436.367308416113</v>
      </c>
      <c r="M85" s="237">
        <f>(M24+M61)*Parametre!$C$99</f>
        <v>96436.367308416113</v>
      </c>
      <c r="N85" s="237">
        <f>(N24+N61)*Parametre!$C$99</f>
        <v>96436.367308416113</v>
      </c>
      <c r="O85" s="237">
        <f>(O24+O61)*Parametre!$C$99</f>
        <v>96436.367308416113</v>
      </c>
      <c r="P85" s="237">
        <f>(P24+P61)*Parametre!$C$99</f>
        <v>96436.367308416113</v>
      </c>
      <c r="Q85" s="237">
        <f>(Q24+Q61)*Parametre!$C$99</f>
        <v>96436.367308416113</v>
      </c>
      <c r="R85" s="237">
        <f>(R24+R61)*Parametre!$C$99</f>
        <v>96436.367308416113</v>
      </c>
      <c r="S85" s="237">
        <f>(S24+S61)*Parametre!$C$99</f>
        <v>96436.367308416113</v>
      </c>
      <c r="T85" s="237">
        <f>(T24+T61)*Parametre!$C$99</f>
        <v>96243.494573799297</v>
      </c>
      <c r="U85" s="237">
        <f>(U24+U61)*Parametre!$C$99</f>
        <v>96051.007584651699</v>
      </c>
      <c r="V85" s="237">
        <f>(V24+V61)*Parametre!$C$99</f>
        <v>95858.905569482391</v>
      </c>
      <c r="W85" s="237">
        <f>(W24+W61)*Parametre!$C$99</f>
        <v>95667.18775834344</v>
      </c>
      <c r="X85" s="237">
        <f>(X24+X61)*Parametre!$C$99</f>
        <v>95475.853382826739</v>
      </c>
      <c r="Y85" s="237">
        <f>(Y24+Y61)*Parametre!$C$99</f>
        <v>95284.901676061098</v>
      </c>
      <c r="Z85" s="237">
        <f>(Z24+Z61)*Parametre!$C$99</f>
        <v>95094.331872708965</v>
      </c>
      <c r="AA85" s="237">
        <f>(AA24+AA61)*Parametre!$C$99</f>
        <v>94904.143208963535</v>
      </c>
      <c r="AB85" s="237">
        <f>(AB24+AB61)*Parametre!$C$99</f>
        <v>94714.334922545619</v>
      </c>
      <c r="AC85" s="237">
        <f>(AC24+AC61)*Parametre!$C$99</f>
        <v>94524.906252700515</v>
      </c>
      <c r="AD85" s="237">
        <f>(AD24+AD61)*Parametre!$C$99</f>
        <v>94335.856440195115</v>
      </c>
      <c r="AE85" s="237">
        <f>(AE24+AE61)*Parametre!$C$99</f>
        <v>94147.184727314714</v>
      </c>
      <c r="AF85" s="237">
        <f>(AF24+AF61)*Parametre!$C$99</f>
        <v>93958.890357860073</v>
      </c>
      <c r="AG85" s="237">
        <f>(AG24+AG61)*Parametre!$C$99</f>
        <v>93770.972577144377</v>
      </c>
      <c r="AH85" s="237">
        <f>(AH24+AH61)*Parametre!$C$99</f>
        <v>187166.86126398019</v>
      </c>
      <c r="AI85" s="237">
        <f>(AI24+AI61)*Parametre!$C$99</f>
        <v>280188.79131217831</v>
      </c>
      <c r="AJ85" s="237">
        <f>(AJ24+AJ61)*Parametre!$C$99</f>
        <v>372837.88497273868</v>
      </c>
      <c r="AK85" s="237">
        <f>(AK24+AK61)*Parametre!$C$99</f>
        <v>465115.26150349143</v>
      </c>
      <c r="AL85" s="237">
        <f>(AL24+AL61)*Parametre!$C$99</f>
        <v>557022.03717658133</v>
      </c>
    </row>
    <row r="86" spans="2:38" x14ac:dyDescent="0.2">
      <c r="B86" s="232" t="s">
        <v>378</v>
      </c>
      <c r="C86" s="237">
        <f>SUM(D86:AL86)</f>
        <v>38376943.958749965</v>
      </c>
      <c r="D86" s="240">
        <f>(D25+D62)</f>
        <v>0</v>
      </c>
      <c r="E86" s="240">
        <f t="shared" ref="E86:AL86" si="54">(E25+E62)</f>
        <v>0</v>
      </c>
      <c r="F86" s="240">
        <f t="shared" si="54"/>
        <v>0</v>
      </c>
      <c r="G86" s="240">
        <f t="shared" si="54"/>
        <v>832411.93089972355</v>
      </c>
      <c r="H86" s="240">
        <f t="shared" si="54"/>
        <v>832411.93089972355</v>
      </c>
      <c r="I86" s="240">
        <f t="shared" si="54"/>
        <v>832411.93089972355</v>
      </c>
      <c r="J86" s="240">
        <f t="shared" si="54"/>
        <v>832411.93089972355</v>
      </c>
      <c r="K86" s="240">
        <f t="shared" si="54"/>
        <v>832411.93089972355</v>
      </c>
      <c r="L86" s="240">
        <f t="shared" si="54"/>
        <v>832411.93089972355</v>
      </c>
      <c r="M86" s="240">
        <f t="shared" si="54"/>
        <v>832411.93089972355</v>
      </c>
      <c r="N86" s="240">
        <f t="shared" si="54"/>
        <v>832411.93089972355</v>
      </c>
      <c r="O86" s="240">
        <f t="shared" si="54"/>
        <v>832411.93089972355</v>
      </c>
      <c r="P86" s="240">
        <f t="shared" si="54"/>
        <v>832411.93089972355</v>
      </c>
      <c r="Q86" s="240">
        <f t="shared" si="54"/>
        <v>832411.93089972355</v>
      </c>
      <c r="R86" s="240">
        <f t="shared" si="54"/>
        <v>832411.93089972355</v>
      </c>
      <c r="S86" s="240">
        <f t="shared" si="54"/>
        <v>832411.93089972355</v>
      </c>
      <c r="T86" s="240">
        <f t="shared" si="54"/>
        <v>830747.107037924</v>
      </c>
      <c r="U86" s="240">
        <f t="shared" si="54"/>
        <v>829085.61282384838</v>
      </c>
      <c r="V86" s="240">
        <f t="shared" si="54"/>
        <v>827427.44159820047</v>
      </c>
      <c r="W86" s="240">
        <f t="shared" si="54"/>
        <v>825772.58671500429</v>
      </c>
      <c r="X86" s="240">
        <f t="shared" si="54"/>
        <v>824121.04154157429</v>
      </c>
      <c r="Y86" s="240">
        <f t="shared" si="54"/>
        <v>822472.79945849103</v>
      </c>
      <c r="Z86" s="240">
        <f t="shared" si="54"/>
        <v>820827.85385957395</v>
      </c>
      <c r="AA86" s="240">
        <f t="shared" si="54"/>
        <v>819186.19815185468</v>
      </c>
      <c r="AB86" s="240">
        <f t="shared" si="54"/>
        <v>817547.82575555111</v>
      </c>
      <c r="AC86" s="240">
        <f t="shared" si="54"/>
        <v>815912.73010404001</v>
      </c>
      <c r="AD86" s="240">
        <f t="shared" si="54"/>
        <v>814280.90464383189</v>
      </c>
      <c r="AE86" s="240">
        <f t="shared" si="54"/>
        <v>812652.34283454425</v>
      </c>
      <c r="AF86" s="240">
        <f t="shared" si="54"/>
        <v>811027.038148875</v>
      </c>
      <c r="AG86" s="240">
        <f t="shared" si="54"/>
        <v>809404.98407257721</v>
      </c>
      <c r="AH86" s="240">
        <f t="shared" si="54"/>
        <v>1615572.3482088645</v>
      </c>
      <c r="AI86" s="240">
        <f t="shared" si="54"/>
        <v>2418511.8052686704</v>
      </c>
      <c r="AJ86" s="240">
        <f t="shared" si="54"/>
        <v>3218233.0422108443</v>
      </c>
      <c r="AK86" s="240">
        <f t="shared" si="54"/>
        <v>4014745.7201580275</v>
      </c>
      <c r="AL86" s="240">
        <f t="shared" si="54"/>
        <v>4808059.4744612547</v>
      </c>
    </row>
    <row r="87" spans="2:38" x14ac:dyDescent="0.2">
      <c r="B87" s="232" t="s">
        <v>137</v>
      </c>
      <c r="C87" s="237">
        <f>SUM(D87:AL87)</f>
        <v>0</v>
      </c>
      <c r="D87" s="237">
        <f>(D26+D63)*Parametre!$C$99</f>
        <v>0</v>
      </c>
      <c r="E87" s="237">
        <f>(E26+E63)*Parametre!$C$99</f>
        <v>0</v>
      </c>
      <c r="F87" s="237">
        <f>(F26+F63)*Parametre!$C$99</f>
        <v>0</v>
      </c>
      <c r="G87" s="237">
        <f>(G26+G63)*Parametre!$C$99</f>
        <v>0</v>
      </c>
      <c r="H87" s="237">
        <f>(H26+H63)*Parametre!$C$99</f>
        <v>0</v>
      </c>
      <c r="I87" s="237">
        <f>(I26+I63)*Parametre!$C$99</f>
        <v>0</v>
      </c>
      <c r="J87" s="237">
        <f>(J26+J63)*Parametre!$C$99</f>
        <v>0</v>
      </c>
      <c r="K87" s="237">
        <f>(K26+K63)*Parametre!$C$99</f>
        <v>0</v>
      </c>
      <c r="L87" s="237">
        <f>(L26+L63)*Parametre!$C$99</f>
        <v>0</v>
      </c>
      <c r="M87" s="237">
        <f>(M26+M63)*Parametre!$C$99</f>
        <v>0</v>
      </c>
      <c r="N87" s="237">
        <f>(N26+N63)*Parametre!$C$99</f>
        <v>0</v>
      </c>
      <c r="O87" s="237">
        <f>(O26+O63)*Parametre!$C$99</f>
        <v>0</v>
      </c>
      <c r="P87" s="237">
        <f>(P26+P63)*Parametre!$C$99</f>
        <v>0</v>
      </c>
      <c r="Q87" s="237">
        <f>(Q26+Q63)*Parametre!$C$99</f>
        <v>0</v>
      </c>
      <c r="R87" s="237">
        <f>(R26+R63)*Parametre!$C$99</f>
        <v>0</v>
      </c>
      <c r="S87" s="237">
        <f>(S26+S63)*Parametre!$C$99</f>
        <v>0</v>
      </c>
      <c r="T87" s="237">
        <f>(T26+T63)*Parametre!$C$99</f>
        <v>0</v>
      </c>
      <c r="U87" s="237">
        <f>(U26+U63)*Parametre!$C$99</f>
        <v>0</v>
      </c>
      <c r="V87" s="237">
        <f>(V26+V63)*Parametre!$C$99</f>
        <v>0</v>
      </c>
      <c r="W87" s="237">
        <f>(W26+W63)*Parametre!$C$99</f>
        <v>0</v>
      </c>
      <c r="X87" s="237">
        <f>(X26+X63)*Parametre!$C$99</f>
        <v>0</v>
      </c>
      <c r="Y87" s="237">
        <f>(Y26+Y63)*Parametre!$C$99</f>
        <v>0</v>
      </c>
      <c r="Z87" s="237">
        <f>(Z26+Z63)*Parametre!$C$99</f>
        <v>0</v>
      </c>
      <c r="AA87" s="237">
        <f>(AA26+AA63)*Parametre!$C$99</f>
        <v>0</v>
      </c>
      <c r="AB87" s="237">
        <f>(AB26+AB63)*Parametre!$C$99</f>
        <v>0</v>
      </c>
      <c r="AC87" s="237">
        <f>(AC26+AC63)*Parametre!$C$99</f>
        <v>0</v>
      </c>
      <c r="AD87" s="237">
        <f>(AD26+AD63)*Parametre!$C$99</f>
        <v>0</v>
      </c>
      <c r="AE87" s="237">
        <f>(AE26+AE63)*Parametre!$C$99</f>
        <v>0</v>
      </c>
      <c r="AF87" s="237">
        <f>(AF26+AF63)*Parametre!$C$99</f>
        <v>0</v>
      </c>
      <c r="AG87" s="237">
        <f>(AG26+AG63)*Parametre!$C$99</f>
        <v>0</v>
      </c>
      <c r="AH87" s="237">
        <f>(AH26+AH63)*Parametre!$C$99</f>
        <v>0</v>
      </c>
      <c r="AI87" s="237">
        <f>(AI26+AI63)*Parametre!$C$99</f>
        <v>0</v>
      </c>
      <c r="AJ87" s="237">
        <f>(AJ26+AJ63)*Parametre!$C$99</f>
        <v>0</v>
      </c>
      <c r="AK87" s="237">
        <f>(AK26+AK63)*Parametre!$C$99</f>
        <v>0</v>
      </c>
      <c r="AL87" s="237">
        <f>(AL26+AL63)*Parametre!$C$99</f>
        <v>0</v>
      </c>
    </row>
    <row r="90" spans="2:38" x14ac:dyDescent="0.2">
      <c r="B90" s="257"/>
    </row>
    <row r="91" spans="2:38" x14ac:dyDescent="0.2">
      <c r="B91" s="257"/>
    </row>
  </sheetData>
  <sheetProtection algorithmName="SHA-512" hashValue="s2vuEo4KPO3zY/LTrYLkslyJgr5lY5jW+7/kxuUqm2R2iTjJgz9Wedp1QQK9Vj4bQcBoiFWGI36/BnqQLulesg==" saltValue="zbQLxTXc9VqNQeXxV8GEMg==" spinCount="100000" sheet="1" objects="1" scenarios="1"/>
  <pageMargins left="0.18229166666666666" right="0.24791666666666667" top="1" bottom="1" header="0.5" footer="0.5"/>
  <pageSetup paperSize="9" scale="75" orientation="landscape" r:id="rId1"/>
  <headerFooter alignWithMargins="0">
    <oddHeader xml:space="preserve">&amp;LPríloha 7: Štandardné tabuľky - Cesty
&amp;"Arial,Tučné"&amp;12 08 Prevádzkové náklady vozidla </oddHeader>
    <oddFooter>Strana &amp;P z &amp;N</oddFooter>
  </headerFooter>
  <ignoredErrors>
    <ignoredError sqref="D28:AG28 D65:AG65 D86 AH28:AL28 AH65:AL65 E86:AL86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99"/>
  </sheetPr>
  <dimension ref="B2:AL77"/>
  <sheetViews>
    <sheetView zoomScale="90" zoomScaleNormal="90" workbookViewId="0"/>
  </sheetViews>
  <sheetFormatPr defaultColWidth="9.140625" defaultRowHeight="11.25" x14ac:dyDescent="0.2"/>
  <cols>
    <col min="1" max="1" width="2.85546875" style="233" customWidth="1"/>
    <col min="2" max="2" width="34.140625" style="233" customWidth="1"/>
    <col min="3" max="3" width="9.7109375" style="233" bestFit="1" customWidth="1"/>
    <col min="4" max="6" width="4.7109375" style="233" bestFit="1" customWidth="1"/>
    <col min="7" max="35" width="8" style="233" bestFit="1" customWidth="1"/>
    <col min="36" max="38" width="8.85546875" style="233" bestFit="1" customWidth="1"/>
    <col min="39" max="16384" width="9.140625" style="233"/>
  </cols>
  <sheetData>
    <row r="2" spans="2:38" x14ac:dyDescent="0.2">
      <c r="B2" s="232"/>
      <c r="C2" s="232"/>
      <c r="D2" s="232" t="s">
        <v>10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</row>
    <row r="3" spans="2:38" x14ac:dyDescent="0.2">
      <c r="B3" s="234" t="s">
        <v>382</v>
      </c>
      <c r="C3" s="234"/>
      <c r="D3" s="239">
        <v>1</v>
      </c>
      <c r="E3" s="239">
        <v>2</v>
      </c>
      <c r="F3" s="239">
        <v>3</v>
      </c>
      <c r="G3" s="239">
        <v>4</v>
      </c>
      <c r="H3" s="239">
        <v>5</v>
      </c>
      <c r="I3" s="239">
        <v>6</v>
      </c>
      <c r="J3" s="239">
        <v>7</v>
      </c>
      <c r="K3" s="239">
        <v>8</v>
      </c>
      <c r="L3" s="239">
        <v>9</v>
      </c>
      <c r="M3" s="239">
        <v>10</v>
      </c>
      <c r="N3" s="239">
        <v>11</v>
      </c>
      <c r="O3" s="239">
        <v>12</v>
      </c>
      <c r="P3" s="239">
        <v>13</v>
      </c>
      <c r="Q3" s="239">
        <v>14</v>
      </c>
      <c r="R3" s="239">
        <v>15</v>
      </c>
      <c r="S3" s="239">
        <v>16</v>
      </c>
      <c r="T3" s="239">
        <v>17</v>
      </c>
      <c r="U3" s="239">
        <v>18</v>
      </c>
      <c r="V3" s="239">
        <v>19</v>
      </c>
      <c r="W3" s="239">
        <v>20</v>
      </c>
      <c r="X3" s="239">
        <v>21</v>
      </c>
      <c r="Y3" s="239">
        <v>22</v>
      </c>
      <c r="Z3" s="239">
        <v>23</v>
      </c>
      <c r="AA3" s="239">
        <v>24</v>
      </c>
      <c r="AB3" s="239">
        <v>25</v>
      </c>
      <c r="AC3" s="239">
        <v>26</v>
      </c>
      <c r="AD3" s="239">
        <v>27</v>
      </c>
      <c r="AE3" s="239">
        <v>28</v>
      </c>
      <c r="AF3" s="239">
        <v>29</v>
      </c>
      <c r="AG3" s="239">
        <v>30</v>
      </c>
      <c r="AH3" s="239">
        <v>31</v>
      </c>
      <c r="AI3" s="239">
        <v>32</v>
      </c>
      <c r="AJ3" s="239">
        <v>33</v>
      </c>
      <c r="AK3" s="239">
        <v>34</v>
      </c>
      <c r="AL3" s="239">
        <v>35</v>
      </c>
    </row>
    <row r="4" spans="2:38" x14ac:dyDescent="0.2">
      <c r="B4" s="235" t="s">
        <v>33</v>
      </c>
      <c r="C4" s="236" t="s">
        <v>9</v>
      </c>
      <c r="D4" s="241">
        <v>2025</v>
      </c>
      <c r="E4" s="241">
        <f>$D$4+D3</f>
        <v>2026</v>
      </c>
      <c r="F4" s="241">
        <f>$D$4+E3</f>
        <v>2027</v>
      </c>
      <c r="G4" s="241">
        <f t="shared" ref="G4:AG4" si="0">$D$4+F3</f>
        <v>2028</v>
      </c>
      <c r="H4" s="241">
        <f t="shared" si="0"/>
        <v>2029</v>
      </c>
      <c r="I4" s="241">
        <f t="shared" si="0"/>
        <v>2030</v>
      </c>
      <c r="J4" s="241">
        <f t="shared" si="0"/>
        <v>2031</v>
      </c>
      <c r="K4" s="241">
        <f t="shared" si="0"/>
        <v>2032</v>
      </c>
      <c r="L4" s="241">
        <f t="shared" si="0"/>
        <v>2033</v>
      </c>
      <c r="M4" s="241">
        <f t="shared" si="0"/>
        <v>2034</v>
      </c>
      <c r="N4" s="241">
        <f t="shared" si="0"/>
        <v>2035</v>
      </c>
      <c r="O4" s="241">
        <f t="shared" si="0"/>
        <v>2036</v>
      </c>
      <c r="P4" s="241">
        <f t="shared" si="0"/>
        <v>2037</v>
      </c>
      <c r="Q4" s="241">
        <f t="shared" si="0"/>
        <v>2038</v>
      </c>
      <c r="R4" s="241">
        <f t="shared" si="0"/>
        <v>2039</v>
      </c>
      <c r="S4" s="241">
        <f t="shared" si="0"/>
        <v>2040</v>
      </c>
      <c r="T4" s="241">
        <f t="shared" si="0"/>
        <v>2041</v>
      </c>
      <c r="U4" s="241">
        <f t="shared" si="0"/>
        <v>2042</v>
      </c>
      <c r="V4" s="241">
        <f t="shared" si="0"/>
        <v>2043</v>
      </c>
      <c r="W4" s="241">
        <f t="shared" si="0"/>
        <v>2044</v>
      </c>
      <c r="X4" s="241">
        <f t="shared" si="0"/>
        <v>2045</v>
      </c>
      <c r="Y4" s="241">
        <f t="shared" si="0"/>
        <v>2046</v>
      </c>
      <c r="Z4" s="241">
        <f t="shared" si="0"/>
        <v>2047</v>
      </c>
      <c r="AA4" s="241">
        <f t="shared" si="0"/>
        <v>2048</v>
      </c>
      <c r="AB4" s="241">
        <f t="shared" si="0"/>
        <v>2049</v>
      </c>
      <c r="AC4" s="241">
        <f t="shared" si="0"/>
        <v>2050</v>
      </c>
      <c r="AD4" s="241">
        <f t="shared" si="0"/>
        <v>2051</v>
      </c>
      <c r="AE4" s="241">
        <f t="shared" si="0"/>
        <v>2052</v>
      </c>
      <c r="AF4" s="241">
        <f t="shared" si="0"/>
        <v>2053</v>
      </c>
      <c r="AG4" s="241">
        <f t="shared" si="0"/>
        <v>2054</v>
      </c>
      <c r="AH4" s="241">
        <f t="shared" ref="AH4" si="1">$D$4+AG3</f>
        <v>2055</v>
      </c>
      <c r="AI4" s="241">
        <f t="shared" ref="AI4" si="2">$D$4+AH3</f>
        <v>2056</v>
      </c>
      <c r="AJ4" s="241">
        <f t="shared" ref="AJ4" si="3">$D$4+AI3</f>
        <v>2057</v>
      </c>
      <c r="AK4" s="241">
        <f t="shared" ref="AK4" si="4">$D$4+AJ3</f>
        <v>2058</v>
      </c>
      <c r="AL4" s="241">
        <f t="shared" ref="AL4" si="5">$D$4+AK3</f>
        <v>2059</v>
      </c>
    </row>
    <row r="5" spans="2:38" x14ac:dyDescent="0.2">
      <c r="B5" s="232" t="s">
        <v>376</v>
      </c>
      <c r="C5" s="237">
        <f>SUM(D5:AL5)</f>
        <v>817373.639516311</v>
      </c>
      <c r="D5" s="238">
        <f>Vstupy!C35/Vstupy!$B$13*Parametre!$D$165*Vstupy!C47</f>
        <v>0</v>
      </c>
      <c r="E5" s="238">
        <f>Vstupy!D35/Vstupy!$B$13*Parametre!$D$165*Vstupy!D47</f>
        <v>0</v>
      </c>
      <c r="F5" s="238">
        <f>Vstupy!E35/Vstupy!$B$13*Parametre!$D$165*Vstupy!E47</f>
        <v>0</v>
      </c>
      <c r="G5" s="238">
        <f>Vstupy!F35/Vstupy!$B$13*Parametre!$D$165*Vstupy!F47</f>
        <v>17729.175368096956</v>
      </c>
      <c r="H5" s="238">
        <f>Vstupy!G35/Vstupy!$B$13*Parametre!$D$165*Vstupy!G47</f>
        <v>17729.175368096956</v>
      </c>
      <c r="I5" s="238">
        <f>Vstupy!H35/Vstupy!$B$13*Parametre!$D$165*Vstupy!H47</f>
        <v>17729.175368096956</v>
      </c>
      <c r="J5" s="238">
        <f>Vstupy!I35/Vstupy!$B$13*Parametre!$D$165*Vstupy!I47</f>
        <v>17729.175368096956</v>
      </c>
      <c r="K5" s="238">
        <f>Vstupy!J35/Vstupy!$B$13*Parametre!$D$165*Vstupy!J47</f>
        <v>17729.175368096956</v>
      </c>
      <c r="L5" s="238">
        <f>Vstupy!K35/Vstupy!$B$13*Parametre!$D$165*Vstupy!K47</f>
        <v>17729.175368096956</v>
      </c>
      <c r="M5" s="238">
        <f>Vstupy!L35/Vstupy!$B$13*Parametre!$D$165*Vstupy!L47</f>
        <v>17729.175368096956</v>
      </c>
      <c r="N5" s="238">
        <f>Vstupy!M35/Vstupy!$B$13*Parametre!$D$165*Vstupy!M47</f>
        <v>17729.175368096956</v>
      </c>
      <c r="O5" s="238">
        <f>Vstupy!N35/Vstupy!$B$13*Parametre!$D$165*Vstupy!N47</f>
        <v>17729.175368096956</v>
      </c>
      <c r="P5" s="238">
        <f>Vstupy!O35/Vstupy!$B$13*Parametre!$D$165*Vstupy!O47</f>
        <v>17729.175368096956</v>
      </c>
      <c r="Q5" s="238">
        <f>Vstupy!P35/Vstupy!$B$13*Parametre!$D$165*Vstupy!P47</f>
        <v>17729.175368096956</v>
      </c>
      <c r="R5" s="238">
        <f>Vstupy!Q35/Vstupy!$B$13*Parametre!$D$165*Vstupy!Q47</f>
        <v>17729.175368096956</v>
      </c>
      <c r="S5" s="238">
        <f>Vstupy!R35/Vstupy!$B$13*Parametre!$D$165*Vstupy!R47</f>
        <v>17729.175368096956</v>
      </c>
      <c r="T5" s="238">
        <f>Vstupy!S35/Vstupy!$B$13*Parametre!$D$165*Vstupy!S47</f>
        <v>17693.717017360763</v>
      </c>
      <c r="U5" s="238">
        <f>Vstupy!T35/Vstupy!$B$13*Parametre!$D$165*Vstupy!T47</f>
        <v>17658.329583326042</v>
      </c>
      <c r="V5" s="238">
        <f>Vstupy!U35/Vstupy!$B$13*Parametre!$D$165*Vstupy!U47</f>
        <v>17623.01292415939</v>
      </c>
      <c r="W5" s="238">
        <f>Vstupy!V35/Vstupy!$B$13*Parametre!$D$165*Vstupy!V47</f>
        <v>17587.766898311071</v>
      </c>
      <c r="X5" s="238">
        <f>Vstupy!W35/Vstupy!$B$13*Parametre!$D$165*Vstupy!W47</f>
        <v>17552.591364514446</v>
      </c>
      <c r="Y5" s="238">
        <f>Vstupy!X35/Vstupy!$B$13*Parametre!$D$165*Vstupy!X47</f>
        <v>17517.486181785418</v>
      </c>
      <c r="Z5" s="238">
        <f>Vstupy!Y35/Vstupy!$B$13*Parametre!$D$165*Vstupy!Y47</f>
        <v>17482.451209421848</v>
      </c>
      <c r="AA5" s="238">
        <f>Vstupy!Z35/Vstupy!$B$13*Parametre!$D$165*Vstupy!Z47</f>
        <v>17447.486307003004</v>
      </c>
      <c r="AB5" s="238">
        <f>Vstupy!AA35/Vstupy!$B$13*Parametre!$D$165*Vstupy!AA47</f>
        <v>17412.591334388995</v>
      </c>
      <c r="AC5" s="238">
        <f>Vstupy!AB35/Vstupy!$B$13*Parametre!$D$165*Vstupy!AB47</f>
        <v>17377.766151720218</v>
      </c>
      <c r="AD5" s="238">
        <f>Vstupy!AC35/Vstupy!$B$13*Parametre!$D$165*Vstupy!AC47</f>
        <v>17343.010619416775</v>
      </c>
      <c r="AE5" s="238">
        <f>Vstupy!AD35/Vstupy!$B$13*Parametre!$D$165*Vstupy!AD47</f>
        <v>17308.324598177947</v>
      </c>
      <c r="AF5" s="238">
        <f>Vstupy!AE35/Vstupy!$B$13*Parametre!$D$165*Vstupy!AE47</f>
        <v>17273.707948981588</v>
      </c>
      <c r="AG5" s="238">
        <f>Vstupy!AF35/Vstupy!$B$13*Parametre!$D$165*Vstupy!AF47</f>
        <v>17239.160533083621</v>
      </c>
      <c r="AH5" s="238">
        <f>Vstupy!AG35/Vstupy!$B$13*Parametre!$D$165*Vstupy!AG47</f>
        <v>34409.364424034917</v>
      </c>
      <c r="AI5" s="238">
        <f>Vstupy!AH35/Vstupy!$B$13*Parametre!$D$165*Vstupy!AH47</f>
        <v>51510.818542780267</v>
      </c>
      <c r="AJ5" s="238">
        <f>Vstupy!AI35/Vstupy!$B$13*Parametre!$D$165*Vstupy!AI47</f>
        <v>68543.729207592958</v>
      </c>
      <c r="AK5" s="238">
        <f>Vstupy!AJ35/Vstupy!$B$13*Parametre!$D$165*Vstupy!AJ47</f>
        <v>85508.302186472196</v>
      </c>
      <c r="AL5" s="238">
        <f>Vstupy!AK35/Vstupy!$B$13*Parametre!$D$165*Vstupy!AK47</f>
        <v>102404.7426985191</v>
      </c>
    </row>
    <row r="6" spans="2:38" x14ac:dyDescent="0.2">
      <c r="B6" s="232" t="s">
        <v>377</v>
      </c>
      <c r="C6" s="237">
        <f>SUM(D6:AL6)</f>
        <v>668760.25051334535</v>
      </c>
      <c r="D6" s="238">
        <f>Vstupy!C35/Vstupy!$B$13*Parametre!$D$166*Vstupy!C47</f>
        <v>0</v>
      </c>
      <c r="E6" s="238">
        <f>Vstupy!D35/Vstupy!$B$13*Parametre!$D$166*Vstupy!D47</f>
        <v>0</v>
      </c>
      <c r="F6" s="238">
        <f>Vstupy!E35/Vstupy!$B$13*Parametre!$D$166*Vstupy!E47</f>
        <v>0</v>
      </c>
      <c r="G6" s="238">
        <f>Vstupy!F35/Vstupy!$B$13*Parametre!$D$166*Vstupy!F47</f>
        <v>14505.688937533869</v>
      </c>
      <c r="H6" s="238">
        <f>Vstupy!G35/Vstupy!$B$13*Parametre!$D$166*Vstupy!G47</f>
        <v>14505.688937533869</v>
      </c>
      <c r="I6" s="238">
        <f>Vstupy!H35/Vstupy!$B$13*Parametre!$D$166*Vstupy!H47</f>
        <v>14505.688937533869</v>
      </c>
      <c r="J6" s="238">
        <f>Vstupy!I35/Vstupy!$B$13*Parametre!$D$166*Vstupy!I47</f>
        <v>14505.688937533869</v>
      </c>
      <c r="K6" s="238">
        <f>Vstupy!J35/Vstupy!$B$13*Parametre!$D$166*Vstupy!J47</f>
        <v>14505.688937533869</v>
      </c>
      <c r="L6" s="238">
        <f>Vstupy!K35/Vstupy!$B$13*Parametre!$D$166*Vstupy!K47</f>
        <v>14505.688937533869</v>
      </c>
      <c r="M6" s="238">
        <f>Vstupy!L35/Vstupy!$B$13*Parametre!$D$166*Vstupy!L47</f>
        <v>14505.688937533869</v>
      </c>
      <c r="N6" s="238">
        <f>Vstupy!M35/Vstupy!$B$13*Parametre!$D$166*Vstupy!M47</f>
        <v>14505.688937533869</v>
      </c>
      <c r="O6" s="238">
        <f>Vstupy!N35/Vstupy!$B$13*Parametre!$D$166*Vstupy!N47</f>
        <v>14505.688937533869</v>
      </c>
      <c r="P6" s="238">
        <f>Vstupy!O35/Vstupy!$B$13*Parametre!$D$166*Vstupy!O47</f>
        <v>14505.688937533869</v>
      </c>
      <c r="Q6" s="238">
        <f>Vstupy!P35/Vstupy!$B$13*Parametre!$D$166*Vstupy!P47</f>
        <v>14505.688937533869</v>
      </c>
      <c r="R6" s="238">
        <f>Vstupy!Q35/Vstupy!$B$13*Parametre!$D$166*Vstupy!Q47</f>
        <v>14505.688937533869</v>
      </c>
      <c r="S6" s="238">
        <f>Vstupy!R35/Vstupy!$B$13*Parametre!$D$166*Vstupy!R47</f>
        <v>14505.688937533869</v>
      </c>
      <c r="T6" s="238">
        <f>Vstupy!S35/Vstupy!$B$13*Parametre!$D$166*Vstupy!S47</f>
        <v>14476.677559658803</v>
      </c>
      <c r="U6" s="238">
        <f>Vstupy!T35/Vstupy!$B$13*Parametre!$D$166*Vstupy!T47</f>
        <v>14447.724204539485</v>
      </c>
      <c r="V6" s="238">
        <f>Vstupy!U35/Vstupy!$B$13*Parametre!$D$166*Vstupy!U47</f>
        <v>14418.828756130408</v>
      </c>
      <c r="W6" s="238">
        <f>Vstupy!V35/Vstupy!$B$13*Parametre!$D$166*Vstupy!V47</f>
        <v>14389.991098618146</v>
      </c>
      <c r="X6" s="238">
        <f>Vstupy!W35/Vstupy!$B$13*Parametre!$D$166*Vstupy!W47</f>
        <v>14361.211116420909</v>
      </c>
      <c r="Y6" s="238">
        <f>Vstupy!X35/Vstupy!$B$13*Parametre!$D$166*Vstupy!X47</f>
        <v>14332.488694188069</v>
      </c>
      <c r="Z6" s="238">
        <f>Vstupy!Y35/Vstupy!$B$13*Parametre!$D$166*Vstupy!Y47</f>
        <v>14303.823716799692</v>
      </c>
      <c r="AA6" s="238">
        <f>Vstupy!Z35/Vstupy!$B$13*Parametre!$D$166*Vstupy!Z47</f>
        <v>14275.216069366092</v>
      </c>
      <c r="AB6" s="238">
        <f>Vstupy!AA35/Vstupy!$B$13*Parametre!$D$166*Vstupy!AA47</f>
        <v>14246.665637227357</v>
      </c>
      <c r="AC6" s="238">
        <f>Vstupy!AB35/Vstupy!$B$13*Parametre!$D$166*Vstupy!AB47</f>
        <v>14218.172305952903</v>
      </c>
      <c r="AD6" s="238">
        <f>Vstupy!AC35/Vstupy!$B$13*Parametre!$D$166*Vstupy!AC47</f>
        <v>14189.735961340997</v>
      </c>
      <c r="AE6" s="238">
        <f>Vstupy!AD35/Vstupy!$B$13*Parametre!$D$166*Vstupy!AD47</f>
        <v>14161.356489418316</v>
      </c>
      <c r="AF6" s="238">
        <f>Vstupy!AE35/Vstupy!$B$13*Parametre!$D$166*Vstupy!AE47</f>
        <v>14133.033776439479</v>
      </c>
      <c r="AG6" s="238">
        <f>Vstupy!AF35/Vstupy!$B$13*Parametre!$D$166*Vstupy!AF47</f>
        <v>14104.767708886598</v>
      </c>
      <c r="AH6" s="238">
        <f>Vstupy!AG35/Vstupy!$B$13*Parametre!$D$166*Vstupy!AG47</f>
        <v>28153.116346937652</v>
      </c>
      <c r="AI6" s="238">
        <f>Vstupy!AH35/Vstupy!$B$13*Parametre!$D$166*Vstupy!AH47</f>
        <v>42145.215171365671</v>
      </c>
      <c r="AJ6" s="238">
        <f>Vstupy!AI35/Vstupy!$B$13*Parametre!$D$166*Vstupy!AI47</f>
        <v>56081.232988030592</v>
      </c>
      <c r="AK6" s="238">
        <f>Vstupy!AJ35/Vstupy!$B$13*Parametre!$D$166*Vstupy!AJ47</f>
        <v>69961.338152568147</v>
      </c>
      <c r="AL6" s="238">
        <f>Vstupy!AK35/Vstupy!$B$13*Parametre!$D$166*Vstupy!AK47</f>
        <v>83785.698571515619</v>
      </c>
    </row>
    <row r="7" spans="2:38" x14ac:dyDescent="0.2">
      <c r="B7" s="232" t="s">
        <v>378</v>
      </c>
      <c r="C7" s="237">
        <f>SUM(D7:AL7)</f>
        <v>20032.006422817904</v>
      </c>
      <c r="D7" s="238">
        <f>Vstupy!C35/Vstupy!$B$13*Parametre!$D$167*Vstupy!C47</f>
        <v>0</v>
      </c>
      <c r="E7" s="238">
        <f>Vstupy!D35/Vstupy!$B$13*Parametre!$D$167*Vstupy!D47</f>
        <v>0</v>
      </c>
      <c r="F7" s="238">
        <f>Vstupy!E35/Vstupy!$B$13*Parametre!$D$167*Vstupy!E47</f>
        <v>0</v>
      </c>
      <c r="G7" s="238">
        <f>Vstupy!F35/Vstupy!$B$13*Parametre!$D$167*Vstupy!F47</f>
        <v>434.50257957321367</v>
      </c>
      <c r="H7" s="238">
        <f>Vstupy!G35/Vstupy!$B$13*Parametre!$D$167*Vstupy!G47</f>
        <v>434.50257957321367</v>
      </c>
      <c r="I7" s="238">
        <f>Vstupy!H35/Vstupy!$B$13*Parametre!$D$167*Vstupy!H47</f>
        <v>434.50257957321367</v>
      </c>
      <c r="J7" s="238">
        <f>Vstupy!I35/Vstupy!$B$13*Parametre!$D$167*Vstupy!I47</f>
        <v>434.50257957321367</v>
      </c>
      <c r="K7" s="238">
        <f>Vstupy!J35/Vstupy!$B$13*Parametre!$D$167*Vstupy!J47</f>
        <v>434.50257957321367</v>
      </c>
      <c r="L7" s="238">
        <f>Vstupy!K35/Vstupy!$B$13*Parametre!$D$167*Vstupy!K47</f>
        <v>434.50257957321367</v>
      </c>
      <c r="M7" s="238">
        <f>Vstupy!L35/Vstupy!$B$13*Parametre!$D$167*Vstupy!L47</f>
        <v>434.50257957321367</v>
      </c>
      <c r="N7" s="238">
        <f>Vstupy!M35/Vstupy!$B$13*Parametre!$D$167*Vstupy!M47</f>
        <v>434.50257957321367</v>
      </c>
      <c r="O7" s="238">
        <f>Vstupy!N35/Vstupy!$B$13*Parametre!$D$167*Vstupy!N47</f>
        <v>434.50257957321367</v>
      </c>
      <c r="P7" s="238">
        <f>Vstupy!O35/Vstupy!$B$13*Parametre!$D$167*Vstupy!O47</f>
        <v>434.50257957321367</v>
      </c>
      <c r="Q7" s="238">
        <f>Vstupy!P35/Vstupy!$B$13*Parametre!$D$167*Vstupy!P47</f>
        <v>434.50257957321367</v>
      </c>
      <c r="R7" s="238">
        <f>Vstupy!Q35/Vstupy!$B$13*Parametre!$D$167*Vstupy!Q47</f>
        <v>434.50257957321367</v>
      </c>
      <c r="S7" s="238">
        <f>Vstupy!R35/Vstupy!$B$13*Parametre!$D$167*Vstupy!R47</f>
        <v>434.50257957321367</v>
      </c>
      <c r="T7" s="238">
        <f>Vstupy!S35/Vstupy!$B$13*Parametre!$D$167*Vstupy!S47</f>
        <v>433.63357441406725</v>
      </c>
      <c r="U7" s="238">
        <f>Vstupy!T35/Vstupy!$B$13*Parametre!$D$167*Vstupy!T47</f>
        <v>432.76630726523911</v>
      </c>
      <c r="V7" s="238">
        <f>Vstupy!U35/Vstupy!$B$13*Parametre!$D$167*Vstupy!U47</f>
        <v>431.90077465070868</v>
      </c>
      <c r="W7" s="238">
        <f>Vstupy!V35/Vstupy!$B$13*Parametre!$D$167*Vstupy!V47</f>
        <v>431.03697310140723</v>
      </c>
      <c r="X7" s="238">
        <f>Vstupy!W35/Vstupy!$B$13*Parametre!$D$167*Vstupy!W47</f>
        <v>430.1748991552044</v>
      </c>
      <c r="Y7" s="238">
        <f>Vstupy!X35/Vstupy!$B$13*Parametre!$D$167*Vstupy!X47</f>
        <v>429.31454935689402</v>
      </c>
      <c r="Z7" s="238">
        <f>Vstupy!Y35/Vstupy!$B$13*Parametre!$D$167*Vstupy!Y47</f>
        <v>428.45592025818024</v>
      </c>
      <c r="AA7" s="238">
        <f>Vstupy!Z35/Vstupy!$B$13*Parametre!$D$167*Vstupy!Z47</f>
        <v>427.59900841766381</v>
      </c>
      <c r="AB7" s="238">
        <f>Vstupy!AA35/Vstupy!$B$13*Parametre!$D$167*Vstupy!AA47</f>
        <v>426.74381040082847</v>
      </c>
      <c r="AC7" s="238">
        <f>Vstupy!AB35/Vstupy!$B$13*Parametre!$D$167*Vstupy!AB47</f>
        <v>425.89032278002685</v>
      </c>
      <c r="AD7" s="238">
        <f>Vstupy!AC35/Vstupy!$B$13*Parametre!$D$167*Vstupy!AC47</f>
        <v>425.03854213446675</v>
      </c>
      <c r="AE7" s="238">
        <f>Vstupy!AD35/Vstupy!$B$13*Parametre!$D$167*Vstupy!AD47</f>
        <v>424.18846505019786</v>
      </c>
      <c r="AF7" s="238">
        <f>Vstupy!AE35/Vstupy!$B$13*Parametre!$D$167*Vstupy!AE47</f>
        <v>423.34008812009739</v>
      </c>
      <c r="AG7" s="238">
        <f>Vstupy!AF35/Vstupy!$B$13*Parametre!$D$167*Vstupy!AF47</f>
        <v>422.49340794385716</v>
      </c>
      <c r="AH7" s="238">
        <f>Vstupy!AG35/Vstupy!$B$13*Parametre!$D$167*Vstupy!AG47</f>
        <v>843.29684225593905</v>
      </c>
      <c r="AI7" s="238">
        <f>Vstupy!AH35/Vstupy!$B$13*Parametre!$D$167*Vstupy!AH47</f>
        <v>1262.4153728571407</v>
      </c>
      <c r="AJ7" s="238">
        <f>Vstupy!AI35/Vstupy!$B$13*Parametre!$D$167*Vstupy!AI47</f>
        <v>1679.854056148569</v>
      </c>
      <c r="AK7" s="238">
        <f>Vstupy!AJ35/Vstupy!$B$13*Parametre!$D$167*Vstupy!AJ47</f>
        <v>2095.6179350453394</v>
      </c>
      <c r="AL7" s="238">
        <f>Vstupy!AK35/Vstupy!$B$13*Parametre!$D$167*Vstupy!AK47</f>
        <v>2509.7120390102982</v>
      </c>
    </row>
    <row r="8" spans="2:38" x14ac:dyDescent="0.2">
      <c r="B8" s="232" t="s">
        <v>137</v>
      </c>
      <c r="C8" s="237">
        <f>SUM(D8:AL8)</f>
        <v>0</v>
      </c>
      <c r="D8" s="238">
        <v>0</v>
      </c>
      <c r="E8" s="238">
        <v>0</v>
      </c>
      <c r="F8" s="238">
        <v>0</v>
      </c>
      <c r="G8" s="238">
        <v>0</v>
      </c>
      <c r="H8" s="238">
        <v>0</v>
      </c>
      <c r="I8" s="238">
        <v>0</v>
      </c>
      <c r="J8" s="238">
        <v>0</v>
      </c>
      <c r="K8" s="238">
        <v>0</v>
      </c>
      <c r="L8" s="238">
        <v>0</v>
      </c>
      <c r="M8" s="238">
        <v>0</v>
      </c>
      <c r="N8" s="238">
        <v>0</v>
      </c>
      <c r="O8" s="238">
        <v>0</v>
      </c>
      <c r="P8" s="238">
        <v>0</v>
      </c>
      <c r="Q8" s="238">
        <v>0</v>
      </c>
      <c r="R8" s="238">
        <v>0</v>
      </c>
      <c r="S8" s="238">
        <v>0</v>
      </c>
      <c r="T8" s="238">
        <v>0</v>
      </c>
      <c r="U8" s="238">
        <v>0</v>
      </c>
      <c r="V8" s="238">
        <v>0</v>
      </c>
      <c r="W8" s="238">
        <v>0</v>
      </c>
      <c r="X8" s="238">
        <v>0</v>
      </c>
      <c r="Y8" s="238">
        <v>0</v>
      </c>
      <c r="Z8" s="238">
        <v>0</v>
      </c>
      <c r="AA8" s="238">
        <v>0</v>
      </c>
      <c r="AB8" s="238">
        <v>0</v>
      </c>
      <c r="AC8" s="238">
        <v>0</v>
      </c>
      <c r="AD8" s="238">
        <v>0</v>
      </c>
      <c r="AE8" s="238">
        <v>0</v>
      </c>
      <c r="AF8" s="238">
        <v>0</v>
      </c>
      <c r="AG8" s="238">
        <v>0</v>
      </c>
      <c r="AH8" s="238">
        <v>0</v>
      </c>
      <c r="AI8" s="238">
        <v>0</v>
      </c>
      <c r="AJ8" s="238">
        <v>0</v>
      </c>
      <c r="AK8" s="238">
        <v>0</v>
      </c>
      <c r="AL8" s="238">
        <v>0</v>
      </c>
    </row>
    <row r="11" spans="2:38" x14ac:dyDescent="0.2">
      <c r="B11" s="232"/>
      <c r="C11" s="232"/>
      <c r="D11" s="232" t="s">
        <v>10</v>
      </c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</row>
    <row r="12" spans="2:38" x14ac:dyDescent="0.2">
      <c r="B12" s="234" t="s">
        <v>383</v>
      </c>
      <c r="C12" s="234"/>
      <c r="D12" s="239">
        <v>1</v>
      </c>
      <c r="E12" s="239">
        <v>2</v>
      </c>
      <c r="F12" s="239">
        <v>3</v>
      </c>
      <c r="G12" s="239">
        <v>4</v>
      </c>
      <c r="H12" s="239">
        <v>5</v>
      </c>
      <c r="I12" s="239">
        <v>6</v>
      </c>
      <c r="J12" s="239">
        <v>7</v>
      </c>
      <c r="K12" s="239">
        <v>8</v>
      </c>
      <c r="L12" s="239">
        <v>9</v>
      </c>
      <c r="M12" s="239">
        <v>10</v>
      </c>
      <c r="N12" s="239">
        <v>11</v>
      </c>
      <c r="O12" s="239">
        <v>12</v>
      </c>
      <c r="P12" s="239">
        <v>13</v>
      </c>
      <c r="Q12" s="239">
        <v>14</v>
      </c>
      <c r="R12" s="239">
        <v>15</v>
      </c>
      <c r="S12" s="239">
        <v>16</v>
      </c>
      <c r="T12" s="239">
        <v>17</v>
      </c>
      <c r="U12" s="239">
        <v>18</v>
      </c>
      <c r="V12" s="239">
        <v>19</v>
      </c>
      <c r="W12" s="239">
        <v>20</v>
      </c>
      <c r="X12" s="239">
        <v>21</v>
      </c>
      <c r="Y12" s="239">
        <v>22</v>
      </c>
      <c r="Z12" s="239">
        <v>23</v>
      </c>
      <c r="AA12" s="239">
        <v>24</v>
      </c>
      <c r="AB12" s="239">
        <v>25</v>
      </c>
      <c r="AC12" s="239">
        <v>26</v>
      </c>
      <c r="AD12" s="239">
        <v>27</v>
      </c>
      <c r="AE12" s="239">
        <v>28</v>
      </c>
      <c r="AF12" s="239">
        <v>29</v>
      </c>
      <c r="AG12" s="239">
        <v>30</v>
      </c>
      <c r="AH12" s="239">
        <v>31</v>
      </c>
      <c r="AI12" s="239">
        <v>32</v>
      </c>
      <c r="AJ12" s="239">
        <v>33</v>
      </c>
      <c r="AK12" s="239">
        <v>34</v>
      </c>
      <c r="AL12" s="239">
        <v>35</v>
      </c>
    </row>
    <row r="13" spans="2:38" x14ac:dyDescent="0.2">
      <c r="B13" s="235" t="s">
        <v>34</v>
      </c>
      <c r="C13" s="236" t="s">
        <v>9</v>
      </c>
      <c r="D13" s="241">
        <f t="shared" ref="D13:AG13" si="6">D4</f>
        <v>2025</v>
      </c>
      <c r="E13" s="241">
        <f t="shared" si="6"/>
        <v>2026</v>
      </c>
      <c r="F13" s="241">
        <f t="shared" si="6"/>
        <v>2027</v>
      </c>
      <c r="G13" s="241">
        <f t="shared" si="6"/>
        <v>2028</v>
      </c>
      <c r="H13" s="241">
        <f t="shared" si="6"/>
        <v>2029</v>
      </c>
      <c r="I13" s="241">
        <f t="shared" si="6"/>
        <v>2030</v>
      </c>
      <c r="J13" s="241">
        <f t="shared" si="6"/>
        <v>2031</v>
      </c>
      <c r="K13" s="241">
        <f t="shared" si="6"/>
        <v>2032</v>
      </c>
      <c r="L13" s="241">
        <f t="shared" si="6"/>
        <v>2033</v>
      </c>
      <c r="M13" s="241">
        <f t="shared" si="6"/>
        <v>2034</v>
      </c>
      <c r="N13" s="241">
        <f t="shared" si="6"/>
        <v>2035</v>
      </c>
      <c r="O13" s="241">
        <f t="shared" si="6"/>
        <v>2036</v>
      </c>
      <c r="P13" s="241">
        <f t="shared" si="6"/>
        <v>2037</v>
      </c>
      <c r="Q13" s="241">
        <f t="shared" si="6"/>
        <v>2038</v>
      </c>
      <c r="R13" s="241">
        <f t="shared" si="6"/>
        <v>2039</v>
      </c>
      <c r="S13" s="241">
        <f t="shared" si="6"/>
        <v>2040</v>
      </c>
      <c r="T13" s="241">
        <f t="shared" si="6"/>
        <v>2041</v>
      </c>
      <c r="U13" s="241">
        <f t="shared" si="6"/>
        <v>2042</v>
      </c>
      <c r="V13" s="241">
        <f t="shared" si="6"/>
        <v>2043</v>
      </c>
      <c r="W13" s="241">
        <f t="shared" si="6"/>
        <v>2044</v>
      </c>
      <c r="X13" s="241">
        <f t="shared" si="6"/>
        <v>2045</v>
      </c>
      <c r="Y13" s="241">
        <f t="shared" si="6"/>
        <v>2046</v>
      </c>
      <c r="Z13" s="241">
        <f t="shared" si="6"/>
        <v>2047</v>
      </c>
      <c r="AA13" s="241">
        <f t="shared" si="6"/>
        <v>2048</v>
      </c>
      <c r="AB13" s="241">
        <f t="shared" si="6"/>
        <v>2049</v>
      </c>
      <c r="AC13" s="241">
        <f t="shared" si="6"/>
        <v>2050</v>
      </c>
      <c r="AD13" s="241">
        <f t="shared" si="6"/>
        <v>2051</v>
      </c>
      <c r="AE13" s="241">
        <f t="shared" si="6"/>
        <v>2052</v>
      </c>
      <c r="AF13" s="241">
        <f t="shared" si="6"/>
        <v>2053</v>
      </c>
      <c r="AG13" s="241">
        <f t="shared" si="6"/>
        <v>2054</v>
      </c>
      <c r="AH13" s="241">
        <f t="shared" ref="AH13:AL13" si="7">AH4</f>
        <v>2055</v>
      </c>
      <c r="AI13" s="241">
        <f t="shared" si="7"/>
        <v>2056</v>
      </c>
      <c r="AJ13" s="241">
        <f t="shared" si="7"/>
        <v>2057</v>
      </c>
      <c r="AK13" s="241">
        <f t="shared" si="7"/>
        <v>2058</v>
      </c>
      <c r="AL13" s="241">
        <f t="shared" si="7"/>
        <v>2059</v>
      </c>
    </row>
    <row r="14" spans="2:38" x14ac:dyDescent="0.2">
      <c r="B14" s="232" t="s">
        <v>376</v>
      </c>
      <c r="C14" s="237">
        <f>SUM(D14:AL14)</f>
        <v>0</v>
      </c>
      <c r="D14" s="238">
        <v>0</v>
      </c>
      <c r="E14" s="238">
        <v>0</v>
      </c>
      <c r="F14" s="238">
        <v>0</v>
      </c>
      <c r="G14" s="238">
        <v>0</v>
      </c>
      <c r="H14" s="238">
        <v>0</v>
      </c>
      <c r="I14" s="238">
        <v>0</v>
      </c>
      <c r="J14" s="238">
        <v>0</v>
      </c>
      <c r="K14" s="238">
        <v>0</v>
      </c>
      <c r="L14" s="238">
        <v>0</v>
      </c>
      <c r="M14" s="238">
        <v>0</v>
      </c>
      <c r="N14" s="238">
        <v>0</v>
      </c>
      <c r="O14" s="238">
        <v>0</v>
      </c>
      <c r="P14" s="238">
        <v>0</v>
      </c>
      <c r="Q14" s="238">
        <v>0</v>
      </c>
      <c r="R14" s="238">
        <v>0</v>
      </c>
      <c r="S14" s="238">
        <v>0</v>
      </c>
      <c r="T14" s="238">
        <v>0</v>
      </c>
      <c r="U14" s="238">
        <v>0</v>
      </c>
      <c r="V14" s="238">
        <v>0</v>
      </c>
      <c r="W14" s="238">
        <v>0</v>
      </c>
      <c r="X14" s="238">
        <v>0</v>
      </c>
      <c r="Y14" s="238">
        <v>0</v>
      </c>
      <c r="Z14" s="238">
        <v>0</v>
      </c>
      <c r="AA14" s="238">
        <v>0</v>
      </c>
      <c r="AB14" s="238">
        <v>0</v>
      </c>
      <c r="AC14" s="238">
        <v>0</v>
      </c>
      <c r="AD14" s="238">
        <v>0</v>
      </c>
      <c r="AE14" s="238">
        <v>0</v>
      </c>
      <c r="AF14" s="238">
        <v>0</v>
      </c>
      <c r="AG14" s="238">
        <v>0</v>
      </c>
      <c r="AH14" s="238">
        <v>0</v>
      </c>
      <c r="AI14" s="238">
        <v>0</v>
      </c>
      <c r="AJ14" s="238">
        <v>0</v>
      </c>
      <c r="AK14" s="238">
        <v>0</v>
      </c>
      <c r="AL14" s="238">
        <v>0</v>
      </c>
    </row>
    <row r="15" spans="2:38" x14ac:dyDescent="0.2">
      <c r="B15" s="232" t="s">
        <v>377</v>
      </c>
      <c r="C15" s="237">
        <f>SUM(D15:AL15)</f>
        <v>0</v>
      </c>
      <c r="D15" s="238">
        <v>0</v>
      </c>
      <c r="E15" s="238">
        <v>0</v>
      </c>
      <c r="F15" s="238">
        <v>0</v>
      </c>
      <c r="G15" s="238">
        <v>0</v>
      </c>
      <c r="H15" s="238">
        <v>0</v>
      </c>
      <c r="I15" s="238">
        <v>0</v>
      </c>
      <c r="J15" s="238">
        <v>0</v>
      </c>
      <c r="K15" s="238">
        <v>0</v>
      </c>
      <c r="L15" s="238">
        <v>0</v>
      </c>
      <c r="M15" s="238">
        <v>0</v>
      </c>
      <c r="N15" s="238">
        <v>0</v>
      </c>
      <c r="O15" s="238">
        <v>0</v>
      </c>
      <c r="P15" s="238">
        <v>0</v>
      </c>
      <c r="Q15" s="238">
        <v>0</v>
      </c>
      <c r="R15" s="238">
        <v>0</v>
      </c>
      <c r="S15" s="238">
        <v>0</v>
      </c>
      <c r="T15" s="238">
        <v>0</v>
      </c>
      <c r="U15" s="238">
        <v>0</v>
      </c>
      <c r="V15" s="238">
        <v>0</v>
      </c>
      <c r="W15" s="238">
        <v>0</v>
      </c>
      <c r="X15" s="238">
        <v>0</v>
      </c>
      <c r="Y15" s="238">
        <v>0</v>
      </c>
      <c r="Z15" s="238">
        <v>0</v>
      </c>
      <c r="AA15" s="238">
        <v>0</v>
      </c>
      <c r="AB15" s="238">
        <v>0</v>
      </c>
      <c r="AC15" s="238">
        <v>0</v>
      </c>
      <c r="AD15" s="238">
        <v>0</v>
      </c>
      <c r="AE15" s="238">
        <v>0</v>
      </c>
      <c r="AF15" s="238">
        <v>0</v>
      </c>
      <c r="AG15" s="238">
        <v>0</v>
      </c>
      <c r="AH15" s="238">
        <v>0</v>
      </c>
      <c r="AI15" s="238">
        <v>0</v>
      </c>
      <c r="AJ15" s="238">
        <v>0</v>
      </c>
      <c r="AK15" s="238">
        <v>0</v>
      </c>
      <c r="AL15" s="238">
        <v>0</v>
      </c>
    </row>
    <row r="16" spans="2:38" x14ac:dyDescent="0.2">
      <c r="B16" s="232" t="s">
        <v>378</v>
      </c>
      <c r="C16" s="237">
        <f>SUM(D16:AL16)</f>
        <v>0</v>
      </c>
      <c r="D16" s="238">
        <v>0</v>
      </c>
      <c r="E16" s="238">
        <v>0</v>
      </c>
      <c r="F16" s="238">
        <v>0</v>
      </c>
      <c r="G16" s="238">
        <v>0</v>
      </c>
      <c r="H16" s="238">
        <v>0</v>
      </c>
      <c r="I16" s="238">
        <v>0</v>
      </c>
      <c r="J16" s="238">
        <v>0</v>
      </c>
      <c r="K16" s="238">
        <v>0</v>
      </c>
      <c r="L16" s="238">
        <v>0</v>
      </c>
      <c r="M16" s="238">
        <v>0</v>
      </c>
      <c r="N16" s="238">
        <v>0</v>
      </c>
      <c r="O16" s="238">
        <v>0</v>
      </c>
      <c r="P16" s="238">
        <v>0</v>
      </c>
      <c r="Q16" s="238">
        <v>0</v>
      </c>
      <c r="R16" s="238">
        <v>0</v>
      </c>
      <c r="S16" s="238">
        <v>0</v>
      </c>
      <c r="T16" s="238">
        <v>0</v>
      </c>
      <c r="U16" s="238">
        <v>0</v>
      </c>
      <c r="V16" s="238">
        <v>0</v>
      </c>
      <c r="W16" s="238">
        <v>0</v>
      </c>
      <c r="X16" s="238">
        <v>0</v>
      </c>
      <c r="Y16" s="238">
        <v>0</v>
      </c>
      <c r="Z16" s="238">
        <v>0</v>
      </c>
      <c r="AA16" s="238">
        <v>0</v>
      </c>
      <c r="AB16" s="238">
        <v>0</v>
      </c>
      <c r="AC16" s="238">
        <v>0</v>
      </c>
      <c r="AD16" s="238">
        <v>0</v>
      </c>
      <c r="AE16" s="238">
        <v>0</v>
      </c>
      <c r="AF16" s="238">
        <v>0</v>
      </c>
      <c r="AG16" s="238">
        <v>0</v>
      </c>
      <c r="AH16" s="238">
        <v>0</v>
      </c>
      <c r="AI16" s="238">
        <v>0</v>
      </c>
      <c r="AJ16" s="238">
        <v>0</v>
      </c>
      <c r="AK16" s="238">
        <v>0</v>
      </c>
      <c r="AL16" s="238">
        <v>0</v>
      </c>
    </row>
    <row r="17" spans="2:38" x14ac:dyDescent="0.2">
      <c r="B17" s="232" t="s">
        <v>137</v>
      </c>
      <c r="C17" s="237">
        <f>SUM(D17:AL17)</f>
        <v>0</v>
      </c>
      <c r="D17" s="238">
        <v>0</v>
      </c>
      <c r="E17" s="238">
        <v>0</v>
      </c>
      <c r="F17" s="238">
        <v>0</v>
      </c>
      <c r="G17" s="238">
        <v>0</v>
      </c>
      <c r="H17" s="238">
        <v>0</v>
      </c>
      <c r="I17" s="238">
        <v>0</v>
      </c>
      <c r="J17" s="238">
        <v>0</v>
      </c>
      <c r="K17" s="238">
        <v>0</v>
      </c>
      <c r="L17" s="238">
        <v>0</v>
      </c>
      <c r="M17" s="238">
        <v>0</v>
      </c>
      <c r="N17" s="238">
        <v>0</v>
      </c>
      <c r="O17" s="238">
        <v>0</v>
      </c>
      <c r="P17" s="238">
        <v>0</v>
      </c>
      <c r="Q17" s="238">
        <v>0</v>
      </c>
      <c r="R17" s="238">
        <v>0</v>
      </c>
      <c r="S17" s="238">
        <v>0</v>
      </c>
      <c r="T17" s="238">
        <v>0</v>
      </c>
      <c r="U17" s="238">
        <v>0</v>
      </c>
      <c r="V17" s="238">
        <v>0</v>
      </c>
      <c r="W17" s="238">
        <v>0</v>
      </c>
      <c r="X17" s="238">
        <v>0</v>
      </c>
      <c r="Y17" s="238">
        <v>0</v>
      </c>
      <c r="Z17" s="238">
        <v>0</v>
      </c>
      <c r="AA17" s="238">
        <v>0</v>
      </c>
      <c r="AB17" s="238">
        <v>0</v>
      </c>
      <c r="AC17" s="238">
        <v>0</v>
      </c>
      <c r="AD17" s="238">
        <v>0</v>
      </c>
      <c r="AE17" s="238">
        <v>0</v>
      </c>
      <c r="AF17" s="238">
        <v>0</v>
      </c>
      <c r="AG17" s="238">
        <v>0</v>
      </c>
      <c r="AH17" s="238">
        <v>0</v>
      </c>
      <c r="AI17" s="238">
        <v>0</v>
      </c>
      <c r="AJ17" s="238">
        <v>0</v>
      </c>
      <c r="AK17" s="238">
        <v>0</v>
      </c>
      <c r="AL17" s="238">
        <v>0</v>
      </c>
    </row>
    <row r="20" spans="2:38" x14ac:dyDescent="0.2">
      <c r="B20" s="232"/>
      <c r="C20" s="232"/>
      <c r="D20" s="232" t="s">
        <v>10</v>
      </c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32"/>
      <c r="AI20" s="232"/>
      <c r="AJ20" s="232"/>
      <c r="AK20" s="232"/>
      <c r="AL20" s="232"/>
    </row>
    <row r="21" spans="2:38" x14ac:dyDescent="0.2">
      <c r="B21" s="234" t="s">
        <v>384</v>
      </c>
      <c r="C21" s="234"/>
      <c r="D21" s="239">
        <v>1</v>
      </c>
      <c r="E21" s="239">
        <v>2</v>
      </c>
      <c r="F21" s="239">
        <v>3</v>
      </c>
      <c r="G21" s="239">
        <v>4</v>
      </c>
      <c r="H21" s="239">
        <v>5</v>
      </c>
      <c r="I21" s="239">
        <v>6</v>
      </c>
      <c r="J21" s="239">
        <v>7</v>
      </c>
      <c r="K21" s="239">
        <v>8</v>
      </c>
      <c r="L21" s="239">
        <v>9</v>
      </c>
      <c r="M21" s="239">
        <v>10</v>
      </c>
      <c r="N21" s="239">
        <v>11</v>
      </c>
      <c r="O21" s="239">
        <v>12</v>
      </c>
      <c r="P21" s="239">
        <v>13</v>
      </c>
      <c r="Q21" s="239">
        <v>14</v>
      </c>
      <c r="R21" s="239">
        <v>15</v>
      </c>
      <c r="S21" s="239">
        <v>16</v>
      </c>
      <c r="T21" s="239">
        <v>17</v>
      </c>
      <c r="U21" s="239">
        <v>18</v>
      </c>
      <c r="V21" s="239">
        <v>19</v>
      </c>
      <c r="W21" s="239">
        <v>20</v>
      </c>
      <c r="X21" s="239">
        <v>21</v>
      </c>
      <c r="Y21" s="239">
        <v>22</v>
      </c>
      <c r="Z21" s="239">
        <v>23</v>
      </c>
      <c r="AA21" s="239">
        <v>24</v>
      </c>
      <c r="AB21" s="239">
        <v>25</v>
      </c>
      <c r="AC21" s="239">
        <v>26</v>
      </c>
      <c r="AD21" s="239">
        <v>27</v>
      </c>
      <c r="AE21" s="239">
        <v>28</v>
      </c>
      <c r="AF21" s="239">
        <v>29</v>
      </c>
      <c r="AG21" s="239">
        <v>30</v>
      </c>
      <c r="AH21" s="239">
        <v>31</v>
      </c>
      <c r="AI21" s="239">
        <v>32</v>
      </c>
      <c r="AJ21" s="239">
        <v>33</v>
      </c>
      <c r="AK21" s="239">
        <v>34</v>
      </c>
      <c r="AL21" s="239">
        <v>35</v>
      </c>
    </row>
    <row r="22" spans="2:38" x14ac:dyDescent="0.2">
      <c r="B22" s="235" t="s">
        <v>63</v>
      </c>
      <c r="C22" s="236" t="s">
        <v>9</v>
      </c>
      <c r="D22" s="241">
        <f t="shared" ref="D22:AG22" si="8">D4</f>
        <v>2025</v>
      </c>
      <c r="E22" s="241">
        <f t="shared" si="8"/>
        <v>2026</v>
      </c>
      <c r="F22" s="241">
        <f t="shared" si="8"/>
        <v>2027</v>
      </c>
      <c r="G22" s="241">
        <f t="shared" si="8"/>
        <v>2028</v>
      </c>
      <c r="H22" s="241">
        <f t="shared" si="8"/>
        <v>2029</v>
      </c>
      <c r="I22" s="241">
        <f t="shared" si="8"/>
        <v>2030</v>
      </c>
      <c r="J22" s="241">
        <f t="shared" si="8"/>
        <v>2031</v>
      </c>
      <c r="K22" s="241">
        <f t="shared" si="8"/>
        <v>2032</v>
      </c>
      <c r="L22" s="241">
        <f t="shared" si="8"/>
        <v>2033</v>
      </c>
      <c r="M22" s="241">
        <f t="shared" si="8"/>
        <v>2034</v>
      </c>
      <c r="N22" s="241">
        <f t="shared" si="8"/>
        <v>2035</v>
      </c>
      <c r="O22" s="241">
        <f t="shared" si="8"/>
        <v>2036</v>
      </c>
      <c r="P22" s="241">
        <f t="shared" si="8"/>
        <v>2037</v>
      </c>
      <c r="Q22" s="241">
        <f t="shared" si="8"/>
        <v>2038</v>
      </c>
      <c r="R22" s="241">
        <f t="shared" si="8"/>
        <v>2039</v>
      </c>
      <c r="S22" s="241">
        <f t="shared" si="8"/>
        <v>2040</v>
      </c>
      <c r="T22" s="241">
        <f t="shared" si="8"/>
        <v>2041</v>
      </c>
      <c r="U22" s="241">
        <f t="shared" si="8"/>
        <v>2042</v>
      </c>
      <c r="V22" s="241">
        <f t="shared" si="8"/>
        <v>2043</v>
      </c>
      <c r="W22" s="241">
        <f t="shared" si="8"/>
        <v>2044</v>
      </c>
      <c r="X22" s="241">
        <f t="shared" si="8"/>
        <v>2045</v>
      </c>
      <c r="Y22" s="241">
        <f t="shared" si="8"/>
        <v>2046</v>
      </c>
      <c r="Z22" s="241">
        <f t="shared" si="8"/>
        <v>2047</v>
      </c>
      <c r="AA22" s="241">
        <f t="shared" si="8"/>
        <v>2048</v>
      </c>
      <c r="AB22" s="241">
        <f t="shared" si="8"/>
        <v>2049</v>
      </c>
      <c r="AC22" s="241">
        <f t="shared" si="8"/>
        <v>2050</v>
      </c>
      <c r="AD22" s="241">
        <f t="shared" si="8"/>
        <v>2051</v>
      </c>
      <c r="AE22" s="241">
        <f t="shared" si="8"/>
        <v>2052</v>
      </c>
      <c r="AF22" s="241">
        <f t="shared" si="8"/>
        <v>2053</v>
      </c>
      <c r="AG22" s="241">
        <f t="shared" si="8"/>
        <v>2054</v>
      </c>
      <c r="AH22" s="241">
        <f t="shared" ref="AH22:AL22" si="9">AH4</f>
        <v>2055</v>
      </c>
      <c r="AI22" s="241">
        <f t="shared" si="9"/>
        <v>2056</v>
      </c>
      <c r="AJ22" s="241">
        <f t="shared" si="9"/>
        <v>2057</v>
      </c>
      <c r="AK22" s="241">
        <f t="shared" si="9"/>
        <v>2058</v>
      </c>
      <c r="AL22" s="241">
        <f t="shared" si="9"/>
        <v>2059</v>
      </c>
    </row>
    <row r="23" spans="2:38" x14ac:dyDescent="0.2">
      <c r="B23" s="232" t="s">
        <v>376</v>
      </c>
      <c r="C23" s="237">
        <f>SUM(D23:AL23)</f>
        <v>817373.639516311</v>
      </c>
      <c r="D23" s="237">
        <f t="shared" ref="D23:AG23" si="10">D5-D14</f>
        <v>0</v>
      </c>
      <c r="E23" s="237">
        <f t="shared" si="10"/>
        <v>0</v>
      </c>
      <c r="F23" s="237">
        <f t="shared" si="10"/>
        <v>0</v>
      </c>
      <c r="G23" s="237">
        <f t="shared" si="10"/>
        <v>17729.175368096956</v>
      </c>
      <c r="H23" s="237">
        <f t="shared" si="10"/>
        <v>17729.175368096956</v>
      </c>
      <c r="I23" s="237">
        <f t="shared" si="10"/>
        <v>17729.175368096956</v>
      </c>
      <c r="J23" s="237">
        <f t="shared" si="10"/>
        <v>17729.175368096956</v>
      </c>
      <c r="K23" s="237">
        <f t="shared" si="10"/>
        <v>17729.175368096956</v>
      </c>
      <c r="L23" s="237">
        <f t="shared" si="10"/>
        <v>17729.175368096956</v>
      </c>
      <c r="M23" s="237">
        <f t="shared" si="10"/>
        <v>17729.175368096956</v>
      </c>
      <c r="N23" s="237">
        <f t="shared" si="10"/>
        <v>17729.175368096956</v>
      </c>
      <c r="O23" s="237">
        <f t="shared" si="10"/>
        <v>17729.175368096956</v>
      </c>
      <c r="P23" s="237">
        <f t="shared" si="10"/>
        <v>17729.175368096956</v>
      </c>
      <c r="Q23" s="237">
        <f t="shared" si="10"/>
        <v>17729.175368096956</v>
      </c>
      <c r="R23" s="237">
        <f t="shared" si="10"/>
        <v>17729.175368096956</v>
      </c>
      <c r="S23" s="237">
        <f t="shared" si="10"/>
        <v>17729.175368096956</v>
      </c>
      <c r="T23" s="237">
        <f t="shared" si="10"/>
        <v>17693.717017360763</v>
      </c>
      <c r="U23" s="237">
        <f t="shared" si="10"/>
        <v>17658.329583326042</v>
      </c>
      <c r="V23" s="237">
        <f t="shared" si="10"/>
        <v>17623.01292415939</v>
      </c>
      <c r="W23" s="237">
        <f t="shared" si="10"/>
        <v>17587.766898311071</v>
      </c>
      <c r="X23" s="237">
        <f t="shared" si="10"/>
        <v>17552.591364514446</v>
      </c>
      <c r="Y23" s="237">
        <f t="shared" si="10"/>
        <v>17517.486181785418</v>
      </c>
      <c r="Z23" s="237">
        <f t="shared" si="10"/>
        <v>17482.451209421848</v>
      </c>
      <c r="AA23" s="237">
        <f t="shared" si="10"/>
        <v>17447.486307003004</v>
      </c>
      <c r="AB23" s="237">
        <f t="shared" si="10"/>
        <v>17412.591334388995</v>
      </c>
      <c r="AC23" s="237">
        <f t="shared" si="10"/>
        <v>17377.766151720218</v>
      </c>
      <c r="AD23" s="237">
        <f t="shared" si="10"/>
        <v>17343.010619416775</v>
      </c>
      <c r="AE23" s="237">
        <f t="shared" si="10"/>
        <v>17308.324598177947</v>
      </c>
      <c r="AF23" s="237">
        <f t="shared" si="10"/>
        <v>17273.707948981588</v>
      </c>
      <c r="AG23" s="237">
        <f t="shared" si="10"/>
        <v>17239.160533083621</v>
      </c>
      <c r="AH23" s="237">
        <f t="shared" ref="AH23:AL23" si="11">AH5-AH14</f>
        <v>34409.364424034917</v>
      </c>
      <c r="AI23" s="237">
        <f t="shared" si="11"/>
        <v>51510.818542780267</v>
      </c>
      <c r="AJ23" s="237">
        <f t="shared" si="11"/>
        <v>68543.729207592958</v>
      </c>
      <c r="AK23" s="237">
        <f t="shared" si="11"/>
        <v>85508.302186472196</v>
      </c>
      <c r="AL23" s="237">
        <f t="shared" si="11"/>
        <v>102404.7426985191</v>
      </c>
    </row>
    <row r="24" spans="2:38" x14ac:dyDescent="0.2">
      <c r="B24" s="232" t="s">
        <v>377</v>
      </c>
      <c r="C24" s="237">
        <f>SUM(D24:AL24)</f>
        <v>668760.25051334535</v>
      </c>
      <c r="D24" s="237">
        <f t="shared" ref="D24:AG24" si="12">D6-D15</f>
        <v>0</v>
      </c>
      <c r="E24" s="237">
        <f t="shared" si="12"/>
        <v>0</v>
      </c>
      <c r="F24" s="237">
        <f t="shared" si="12"/>
        <v>0</v>
      </c>
      <c r="G24" s="237">
        <f t="shared" si="12"/>
        <v>14505.688937533869</v>
      </c>
      <c r="H24" s="237">
        <f t="shared" si="12"/>
        <v>14505.688937533869</v>
      </c>
      <c r="I24" s="237">
        <f t="shared" si="12"/>
        <v>14505.688937533869</v>
      </c>
      <c r="J24" s="237">
        <f t="shared" si="12"/>
        <v>14505.688937533869</v>
      </c>
      <c r="K24" s="237">
        <f t="shared" si="12"/>
        <v>14505.688937533869</v>
      </c>
      <c r="L24" s="237">
        <f t="shared" si="12"/>
        <v>14505.688937533869</v>
      </c>
      <c r="M24" s="237">
        <f t="shared" si="12"/>
        <v>14505.688937533869</v>
      </c>
      <c r="N24" s="237">
        <f t="shared" si="12"/>
        <v>14505.688937533869</v>
      </c>
      <c r="O24" s="237">
        <f t="shared" si="12"/>
        <v>14505.688937533869</v>
      </c>
      <c r="P24" s="237">
        <f t="shared" si="12"/>
        <v>14505.688937533869</v>
      </c>
      <c r="Q24" s="237">
        <f t="shared" si="12"/>
        <v>14505.688937533869</v>
      </c>
      <c r="R24" s="237">
        <f t="shared" si="12"/>
        <v>14505.688937533869</v>
      </c>
      <c r="S24" s="237">
        <f t="shared" si="12"/>
        <v>14505.688937533869</v>
      </c>
      <c r="T24" s="237">
        <f t="shared" si="12"/>
        <v>14476.677559658803</v>
      </c>
      <c r="U24" s="237">
        <f t="shared" si="12"/>
        <v>14447.724204539485</v>
      </c>
      <c r="V24" s="237">
        <f t="shared" si="12"/>
        <v>14418.828756130408</v>
      </c>
      <c r="W24" s="237">
        <f t="shared" si="12"/>
        <v>14389.991098618146</v>
      </c>
      <c r="X24" s="237">
        <f t="shared" si="12"/>
        <v>14361.211116420909</v>
      </c>
      <c r="Y24" s="237">
        <f t="shared" si="12"/>
        <v>14332.488694188069</v>
      </c>
      <c r="Z24" s="237">
        <f t="shared" si="12"/>
        <v>14303.823716799692</v>
      </c>
      <c r="AA24" s="237">
        <f t="shared" si="12"/>
        <v>14275.216069366092</v>
      </c>
      <c r="AB24" s="237">
        <f t="shared" si="12"/>
        <v>14246.665637227357</v>
      </c>
      <c r="AC24" s="237">
        <f t="shared" si="12"/>
        <v>14218.172305952903</v>
      </c>
      <c r="AD24" s="237">
        <f t="shared" si="12"/>
        <v>14189.735961340997</v>
      </c>
      <c r="AE24" s="237">
        <f t="shared" si="12"/>
        <v>14161.356489418316</v>
      </c>
      <c r="AF24" s="237">
        <f t="shared" si="12"/>
        <v>14133.033776439479</v>
      </c>
      <c r="AG24" s="237">
        <f t="shared" si="12"/>
        <v>14104.767708886598</v>
      </c>
      <c r="AH24" s="237">
        <f t="shared" ref="AH24:AL24" si="13">AH6-AH15</f>
        <v>28153.116346937652</v>
      </c>
      <c r="AI24" s="237">
        <f t="shared" si="13"/>
        <v>42145.215171365671</v>
      </c>
      <c r="AJ24" s="237">
        <f t="shared" si="13"/>
        <v>56081.232988030592</v>
      </c>
      <c r="AK24" s="237">
        <f t="shared" si="13"/>
        <v>69961.338152568147</v>
      </c>
      <c r="AL24" s="237">
        <f t="shared" si="13"/>
        <v>83785.698571515619</v>
      </c>
    </row>
    <row r="25" spans="2:38" x14ac:dyDescent="0.2">
      <c r="B25" s="232" t="s">
        <v>378</v>
      </c>
      <c r="C25" s="237">
        <f>SUM(D25:AL25)</f>
        <v>20032.006422817904</v>
      </c>
      <c r="D25" s="237">
        <f t="shared" ref="D25:AG25" si="14">D7-D16</f>
        <v>0</v>
      </c>
      <c r="E25" s="237">
        <f t="shared" si="14"/>
        <v>0</v>
      </c>
      <c r="F25" s="237">
        <f t="shared" si="14"/>
        <v>0</v>
      </c>
      <c r="G25" s="237">
        <f t="shared" si="14"/>
        <v>434.50257957321367</v>
      </c>
      <c r="H25" s="237">
        <f t="shared" si="14"/>
        <v>434.50257957321367</v>
      </c>
      <c r="I25" s="237">
        <f t="shared" si="14"/>
        <v>434.50257957321367</v>
      </c>
      <c r="J25" s="237">
        <f t="shared" si="14"/>
        <v>434.50257957321367</v>
      </c>
      <c r="K25" s="237">
        <f t="shared" si="14"/>
        <v>434.50257957321367</v>
      </c>
      <c r="L25" s="237">
        <f t="shared" si="14"/>
        <v>434.50257957321367</v>
      </c>
      <c r="M25" s="237">
        <f t="shared" si="14"/>
        <v>434.50257957321367</v>
      </c>
      <c r="N25" s="237">
        <f t="shared" si="14"/>
        <v>434.50257957321367</v>
      </c>
      <c r="O25" s="237">
        <f t="shared" si="14"/>
        <v>434.50257957321367</v>
      </c>
      <c r="P25" s="237">
        <f t="shared" si="14"/>
        <v>434.50257957321367</v>
      </c>
      <c r="Q25" s="237">
        <f t="shared" si="14"/>
        <v>434.50257957321367</v>
      </c>
      <c r="R25" s="237">
        <f t="shared" si="14"/>
        <v>434.50257957321367</v>
      </c>
      <c r="S25" s="237">
        <f t="shared" si="14"/>
        <v>434.50257957321367</v>
      </c>
      <c r="T25" s="237">
        <f t="shared" si="14"/>
        <v>433.63357441406725</v>
      </c>
      <c r="U25" s="237">
        <f t="shared" si="14"/>
        <v>432.76630726523911</v>
      </c>
      <c r="V25" s="237">
        <f t="shared" si="14"/>
        <v>431.90077465070868</v>
      </c>
      <c r="W25" s="237">
        <f t="shared" si="14"/>
        <v>431.03697310140723</v>
      </c>
      <c r="X25" s="237">
        <f t="shared" si="14"/>
        <v>430.1748991552044</v>
      </c>
      <c r="Y25" s="237">
        <f t="shared" si="14"/>
        <v>429.31454935689402</v>
      </c>
      <c r="Z25" s="237">
        <f t="shared" si="14"/>
        <v>428.45592025818024</v>
      </c>
      <c r="AA25" s="237">
        <f t="shared" si="14"/>
        <v>427.59900841766381</v>
      </c>
      <c r="AB25" s="237">
        <f t="shared" si="14"/>
        <v>426.74381040082847</v>
      </c>
      <c r="AC25" s="237">
        <f t="shared" si="14"/>
        <v>425.89032278002685</v>
      </c>
      <c r="AD25" s="237">
        <f t="shared" si="14"/>
        <v>425.03854213446675</v>
      </c>
      <c r="AE25" s="237">
        <f t="shared" si="14"/>
        <v>424.18846505019786</v>
      </c>
      <c r="AF25" s="237">
        <f t="shared" si="14"/>
        <v>423.34008812009739</v>
      </c>
      <c r="AG25" s="237">
        <f t="shared" si="14"/>
        <v>422.49340794385716</v>
      </c>
      <c r="AH25" s="237">
        <f t="shared" ref="AH25:AL25" si="15">AH7-AH16</f>
        <v>843.29684225593905</v>
      </c>
      <c r="AI25" s="237">
        <f t="shared" si="15"/>
        <v>1262.4153728571407</v>
      </c>
      <c r="AJ25" s="237">
        <f t="shared" si="15"/>
        <v>1679.854056148569</v>
      </c>
      <c r="AK25" s="237">
        <f t="shared" si="15"/>
        <v>2095.6179350453394</v>
      </c>
      <c r="AL25" s="237">
        <f t="shared" si="15"/>
        <v>2509.7120390102982</v>
      </c>
    </row>
    <row r="26" spans="2:38" x14ac:dyDescent="0.2">
      <c r="B26" s="232" t="s">
        <v>137</v>
      </c>
      <c r="C26" s="237">
        <f>SUM(D26:AL26)</f>
        <v>0</v>
      </c>
      <c r="D26" s="237">
        <f t="shared" ref="D26:AG26" si="16">D8-D17</f>
        <v>0</v>
      </c>
      <c r="E26" s="237">
        <f t="shared" si="16"/>
        <v>0</v>
      </c>
      <c r="F26" s="237">
        <f t="shared" si="16"/>
        <v>0</v>
      </c>
      <c r="G26" s="237">
        <f t="shared" si="16"/>
        <v>0</v>
      </c>
      <c r="H26" s="237">
        <f t="shared" si="16"/>
        <v>0</v>
      </c>
      <c r="I26" s="237">
        <f t="shared" si="16"/>
        <v>0</v>
      </c>
      <c r="J26" s="237">
        <f t="shared" si="16"/>
        <v>0</v>
      </c>
      <c r="K26" s="237">
        <f t="shared" si="16"/>
        <v>0</v>
      </c>
      <c r="L26" s="237">
        <f t="shared" si="16"/>
        <v>0</v>
      </c>
      <c r="M26" s="237">
        <f t="shared" si="16"/>
        <v>0</v>
      </c>
      <c r="N26" s="237">
        <f t="shared" si="16"/>
        <v>0</v>
      </c>
      <c r="O26" s="237">
        <f t="shared" si="16"/>
        <v>0</v>
      </c>
      <c r="P26" s="237">
        <f t="shared" si="16"/>
        <v>0</v>
      </c>
      <c r="Q26" s="237">
        <f t="shared" si="16"/>
        <v>0</v>
      </c>
      <c r="R26" s="237">
        <f t="shared" si="16"/>
        <v>0</v>
      </c>
      <c r="S26" s="237">
        <f t="shared" si="16"/>
        <v>0</v>
      </c>
      <c r="T26" s="237">
        <f t="shared" si="16"/>
        <v>0</v>
      </c>
      <c r="U26" s="237">
        <f t="shared" si="16"/>
        <v>0</v>
      </c>
      <c r="V26" s="237">
        <f t="shared" si="16"/>
        <v>0</v>
      </c>
      <c r="W26" s="237">
        <f t="shared" si="16"/>
        <v>0</v>
      </c>
      <c r="X26" s="237">
        <f t="shared" si="16"/>
        <v>0</v>
      </c>
      <c r="Y26" s="237">
        <f t="shared" si="16"/>
        <v>0</v>
      </c>
      <c r="Z26" s="237">
        <f t="shared" si="16"/>
        <v>0</v>
      </c>
      <c r="AA26" s="237">
        <f t="shared" si="16"/>
        <v>0</v>
      </c>
      <c r="AB26" s="237">
        <f t="shared" si="16"/>
        <v>0</v>
      </c>
      <c r="AC26" s="237">
        <f t="shared" si="16"/>
        <v>0</v>
      </c>
      <c r="AD26" s="237">
        <f t="shared" si="16"/>
        <v>0</v>
      </c>
      <c r="AE26" s="237">
        <f t="shared" si="16"/>
        <v>0</v>
      </c>
      <c r="AF26" s="237">
        <f t="shared" si="16"/>
        <v>0</v>
      </c>
      <c r="AG26" s="237">
        <f t="shared" si="16"/>
        <v>0</v>
      </c>
      <c r="AH26" s="237">
        <f t="shared" ref="AH26:AL26" si="17">AH8-AH17</f>
        <v>0</v>
      </c>
      <c r="AI26" s="237">
        <f t="shared" si="17"/>
        <v>0</v>
      </c>
      <c r="AJ26" s="237">
        <f t="shared" si="17"/>
        <v>0</v>
      </c>
      <c r="AK26" s="237">
        <f t="shared" si="17"/>
        <v>0</v>
      </c>
      <c r="AL26" s="237">
        <f t="shared" si="17"/>
        <v>0</v>
      </c>
    </row>
    <row r="27" spans="2:38" x14ac:dyDescent="0.2"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247"/>
      <c r="AJ27" s="247"/>
      <c r="AK27" s="247"/>
      <c r="AL27" s="247"/>
    </row>
    <row r="29" spans="2:38" ht="22.5" x14ac:dyDescent="0.2">
      <c r="B29" s="258" t="s">
        <v>385</v>
      </c>
      <c r="C29" s="253" t="s">
        <v>9</v>
      </c>
    </row>
    <row r="30" spans="2:38" x14ac:dyDescent="0.2">
      <c r="B30" s="248" t="s">
        <v>376</v>
      </c>
      <c r="C30" s="237">
        <f>SUM(D30:AL30)</f>
        <v>4135910.6159525332</v>
      </c>
      <c r="D30" s="237">
        <f>D23*Parametre!$D$187</f>
        <v>0</v>
      </c>
      <c r="E30" s="237">
        <f>E23*Parametre!$D$187</f>
        <v>0</v>
      </c>
      <c r="F30" s="237">
        <f>F23*Parametre!$D$187</f>
        <v>0</v>
      </c>
      <c r="G30" s="237">
        <f>G23*Parametre!$D$187</f>
        <v>89709.627362570594</v>
      </c>
      <c r="H30" s="237">
        <f>H23*Parametre!$D$187</f>
        <v>89709.627362570594</v>
      </c>
      <c r="I30" s="237">
        <f>I23*Parametre!$D$187</f>
        <v>89709.627362570594</v>
      </c>
      <c r="J30" s="237">
        <f>J23*Parametre!$D$187</f>
        <v>89709.627362570594</v>
      </c>
      <c r="K30" s="237">
        <f>K23*Parametre!$D$187</f>
        <v>89709.627362570594</v>
      </c>
      <c r="L30" s="237">
        <f>L23*Parametre!$D$187</f>
        <v>89709.627362570594</v>
      </c>
      <c r="M30" s="237">
        <f>M23*Parametre!$D$187</f>
        <v>89709.627362570594</v>
      </c>
      <c r="N30" s="237">
        <f>N23*Parametre!$D$187</f>
        <v>89709.627362570594</v>
      </c>
      <c r="O30" s="237">
        <f>O23*Parametre!$D$187</f>
        <v>89709.627362570594</v>
      </c>
      <c r="P30" s="237">
        <f>P23*Parametre!$D$187</f>
        <v>89709.627362570594</v>
      </c>
      <c r="Q30" s="237">
        <f>Q23*Parametre!$D$187</f>
        <v>89709.627362570594</v>
      </c>
      <c r="R30" s="237">
        <f>R23*Parametre!$D$187</f>
        <v>89709.627362570594</v>
      </c>
      <c r="S30" s="237">
        <f>S23*Parametre!$D$187</f>
        <v>89709.627362570594</v>
      </c>
      <c r="T30" s="237">
        <f>T23*Parametre!$D$187</f>
        <v>89530.20810784545</v>
      </c>
      <c r="U30" s="237">
        <f>U23*Parametre!$D$187</f>
        <v>89351.147691629769</v>
      </c>
      <c r="V30" s="237">
        <f>V23*Parametre!$D$187</f>
        <v>89172.445396246505</v>
      </c>
      <c r="W30" s="237">
        <f>W23*Parametre!$D$187</f>
        <v>88994.100505454015</v>
      </c>
      <c r="X30" s="237">
        <f>X23*Parametre!$D$187</f>
        <v>88816.112304443086</v>
      </c>
      <c r="Y30" s="237">
        <f>Y23*Parametre!$D$187</f>
        <v>88638.480079834204</v>
      </c>
      <c r="Z30" s="237">
        <f>Z23*Parametre!$D$187</f>
        <v>88461.203119674537</v>
      </c>
      <c r="AA30" s="237">
        <f>AA23*Parametre!$D$187</f>
        <v>88284.28071343519</v>
      </c>
      <c r="AB30" s="237">
        <f>AB23*Parametre!$D$187</f>
        <v>88107.712152008302</v>
      </c>
      <c r="AC30" s="237">
        <f>AC23*Parametre!$D$187</f>
        <v>87931.496727704289</v>
      </c>
      <c r="AD30" s="237">
        <f>AD23*Parametre!$D$187</f>
        <v>87755.63373424887</v>
      </c>
      <c r="AE30" s="237">
        <f>AE23*Parametre!$D$187</f>
        <v>87580.122466780405</v>
      </c>
      <c r="AF30" s="237">
        <f>AF23*Parametre!$D$187</f>
        <v>87404.962221846828</v>
      </c>
      <c r="AG30" s="237">
        <f>AG23*Parametre!$D$187</f>
        <v>87230.15229740311</v>
      </c>
      <c r="AH30" s="237">
        <f>AH23*Parametre!$D$187</f>
        <v>174111.38398561667</v>
      </c>
      <c r="AI30" s="237">
        <f>AI23*Parametre!$D$187</f>
        <v>260644.74182646812</v>
      </c>
      <c r="AJ30" s="237">
        <f>AJ23*Parametre!$D$187</f>
        <v>346831.26979042037</v>
      </c>
      <c r="AK30" s="237">
        <f>AK23*Parametre!$D$187</f>
        <v>432672.00906354928</v>
      </c>
      <c r="AL30" s="237">
        <f>AL23*Parametre!$D$187</f>
        <v>518167.99805450661</v>
      </c>
    </row>
    <row r="31" spans="2:38" x14ac:dyDescent="0.2">
      <c r="B31" s="248" t="s">
        <v>377</v>
      </c>
      <c r="C31" s="237">
        <f>SUM(D31:AL31)</f>
        <v>3383926.8675975264</v>
      </c>
      <c r="D31" s="237">
        <f>D24*Parametre!$D$187</f>
        <v>0</v>
      </c>
      <c r="E31" s="237">
        <f>E24*Parametre!$D$187</f>
        <v>0</v>
      </c>
      <c r="F31" s="237">
        <f>F24*Parametre!$D$187</f>
        <v>0</v>
      </c>
      <c r="G31" s="237">
        <f>G24*Parametre!$D$187</f>
        <v>73398.786023921377</v>
      </c>
      <c r="H31" s="237">
        <f>H24*Parametre!$D$187</f>
        <v>73398.786023921377</v>
      </c>
      <c r="I31" s="237">
        <f>I24*Parametre!$D$187</f>
        <v>73398.786023921377</v>
      </c>
      <c r="J31" s="237">
        <f>J24*Parametre!$D$187</f>
        <v>73398.786023921377</v>
      </c>
      <c r="K31" s="237">
        <f>K24*Parametre!$D$187</f>
        <v>73398.786023921377</v>
      </c>
      <c r="L31" s="237">
        <f>L24*Parametre!$D$187</f>
        <v>73398.786023921377</v>
      </c>
      <c r="M31" s="237">
        <f>M24*Parametre!$D$187</f>
        <v>73398.786023921377</v>
      </c>
      <c r="N31" s="237">
        <f>N24*Parametre!$D$187</f>
        <v>73398.786023921377</v>
      </c>
      <c r="O31" s="237">
        <f>O24*Parametre!$D$187</f>
        <v>73398.786023921377</v>
      </c>
      <c r="P31" s="237">
        <f>P24*Parametre!$D$187</f>
        <v>73398.786023921377</v>
      </c>
      <c r="Q31" s="237">
        <f>Q24*Parametre!$D$187</f>
        <v>73398.786023921377</v>
      </c>
      <c r="R31" s="237">
        <f>R24*Parametre!$D$187</f>
        <v>73398.786023921377</v>
      </c>
      <c r="S31" s="237">
        <f>S24*Parametre!$D$187</f>
        <v>73398.786023921377</v>
      </c>
      <c r="T31" s="237">
        <f>T24*Parametre!$D$187</f>
        <v>73251.988451873534</v>
      </c>
      <c r="U31" s="237">
        <f>U24*Parametre!$D$187</f>
        <v>73105.484474969795</v>
      </c>
      <c r="V31" s="237">
        <f>V24*Parametre!$D$187</f>
        <v>72959.273506019861</v>
      </c>
      <c r="W31" s="237">
        <f>W24*Parametre!$D$187</f>
        <v>72813.354959007818</v>
      </c>
      <c r="X31" s="237">
        <f>X24*Parametre!$D$187</f>
        <v>72667.728249089792</v>
      </c>
      <c r="Y31" s="237">
        <f>Y24*Parametre!$D$187</f>
        <v>72522.392792591621</v>
      </c>
      <c r="Z31" s="237">
        <f>Z24*Parametre!$D$187</f>
        <v>72377.34800700644</v>
      </c>
      <c r="AA31" s="237">
        <f>AA24*Parametre!$D$187</f>
        <v>72232.593310992423</v>
      </c>
      <c r="AB31" s="237">
        <f>AB24*Parametre!$D$187</f>
        <v>72088.128124370429</v>
      </c>
      <c r="AC31" s="237">
        <f>AC24*Parametre!$D$187</f>
        <v>71943.951868121687</v>
      </c>
      <c r="AD31" s="237">
        <f>AD24*Parametre!$D$187</f>
        <v>71800.063964385437</v>
      </c>
      <c r="AE31" s="237">
        <f>AE24*Parametre!$D$187</f>
        <v>71656.463836456678</v>
      </c>
      <c r="AF31" s="237">
        <f>AF24*Parametre!$D$187</f>
        <v>71513.150908783762</v>
      </c>
      <c r="AG31" s="237">
        <f>AG24*Parametre!$D$187</f>
        <v>71370.124606966187</v>
      </c>
      <c r="AH31" s="237">
        <f>AH24*Parametre!$D$187</f>
        <v>142454.7687155045</v>
      </c>
      <c r="AI31" s="237">
        <f>AI24*Parametre!$D$187</f>
        <v>213254.78876711029</v>
      </c>
      <c r="AJ31" s="237">
        <f>AJ24*Parametre!$D$187</f>
        <v>283771.03891943477</v>
      </c>
      <c r="AK31" s="237">
        <f>AK24*Parametre!$D$187</f>
        <v>354004.37105199479</v>
      </c>
      <c r="AL31" s="237">
        <f>AL24*Parametre!$D$187</f>
        <v>423955.63477186899</v>
      </c>
    </row>
    <row r="32" spans="2:38" x14ac:dyDescent="0.2">
      <c r="B32" s="232" t="s">
        <v>378</v>
      </c>
      <c r="C32" s="237">
        <f>SUM(D32:AL32)</f>
        <v>101361.95249945858</v>
      </c>
      <c r="D32" s="237">
        <f>D25*Parametre!$D$187</f>
        <v>0</v>
      </c>
      <c r="E32" s="237">
        <f>E25*Parametre!$D$187</f>
        <v>0</v>
      </c>
      <c r="F32" s="237">
        <f>F25*Parametre!$D$187</f>
        <v>0</v>
      </c>
      <c r="G32" s="237">
        <f>G25*Parametre!$D$187</f>
        <v>2198.5830526404611</v>
      </c>
      <c r="H32" s="237">
        <f>H25*Parametre!$D$187</f>
        <v>2198.5830526404611</v>
      </c>
      <c r="I32" s="237">
        <f>I25*Parametre!$D$187</f>
        <v>2198.5830526404611</v>
      </c>
      <c r="J32" s="237">
        <f>J25*Parametre!$D$187</f>
        <v>2198.5830526404611</v>
      </c>
      <c r="K32" s="237">
        <f>K25*Parametre!$D$187</f>
        <v>2198.5830526404611</v>
      </c>
      <c r="L32" s="237">
        <f>L25*Parametre!$D$187</f>
        <v>2198.5830526404611</v>
      </c>
      <c r="M32" s="237">
        <f>M25*Parametre!$D$187</f>
        <v>2198.5830526404611</v>
      </c>
      <c r="N32" s="237">
        <f>N25*Parametre!$D$187</f>
        <v>2198.5830526404611</v>
      </c>
      <c r="O32" s="237">
        <f>O25*Parametre!$D$187</f>
        <v>2198.5830526404611</v>
      </c>
      <c r="P32" s="237">
        <f>P25*Parametre!$D$187</f>
        <v>2198.5830526404611</v>
      </c>
      <c r="Q32" s="237">
        <f>Q25*Parametre!$D$187</f>
        <v>2198.5830526404611</v>
      </c>
      <c r="R32" s="237">
        <f>R25*Parametre!$D$187</f>
        <v>2198.5830526404611</v>
      </c>
      <c r="S32" s="237">
        <f>S25*Parametre!$D$187</f>
        <v>2198.5830526404611</v>
      </c>
      <c r="T32" s="237">
        <f>T25*Parametre!$D$187</f>
        <v>2194.1858865351801</v>
      </c>
      <c r="U32" s="237">
        <f>U25*Parametre!$D$187</f>
        <v>2189.7975147621096</v>
      </c>
      <c r="V32" s="237">
        <f>V25*Parametre!$D$187</f>
        <v>2185.4179197325857</v>
      </c>
      <c r="W32" s="237">
        <f>W25*Parametre!$D$187</f>
        <v>2181.0470838931205</v>
      </c>
      <c r="X32" s="237">
        <f>X25*Parametre!$D$187</f>
        <v>2176.6849897253342</v>
      </c>
      <c r="Y32" s="237">
        <f>Y25*Parametre!$D$187</f>
        <v>2172.3316197458835</v>
      </c>
      <c r="Z32" s="237">
        <f>Z25*Parametre!$D$187</f>
        <v>2167.9869565063918</v>
      </c>
      <c r="AA32" s="237">
        <f>AA25*Parametre!$D$187</f>
        <v>2163.6509825933786</v>
      </c>
      <c r="AB32" s="237">
        <f>AB25*Parametre!$D$187</f>
        <v>2159.3236806281921</v>
      </c>
      <c r="AC32" s="237">
        <f>AC25*Parametre!$D$187</f>
        <v>2155.0050332669357</v>
      </c>
      <c r="AD32" s="237">
        <f>AD25*Parametre!$D$187</f>
        <v>2150.6950232004015</v>
      </c>
      <c r="AE32" s="237">
        <f>AE25*Parametre!$D$187</f>
        <v>2146.3936331540012</v>
      </c>
      <c r="AF32" s="237">
        <f>AF25*Parametre!$D$187</f>
        <v>2142.1008458876927</v>
      </c>
      <c r="AG32" s="237">
        <f>AG25*Parametre!$D$187</f>
        <v>2137.816644195917</v>
      </c>
      <c r="AH32" s="237">
        <f>AH25*Parametre!$D$187</f>
        <v>4267.0820218150511</v>
      </c>
      <c r="AI32" s="237">
        <f>AI25*Parametre!$D$187</f>
        <v>6387.8217866571313</v>
      </c>
      <c r="AJ32" s="237">
        <f>AJ25*Parametre!$D$187</f>
        <v>8500.0615241117594</v>
      </c>
      <c r="AK32" s="237">
        <f>AK25*Parametre!$D$187</f>
        <v>10603.826751329416</v>
      </c>
      <c r="AL32" s="237">
        <f>AL25*Parametre!$D$187</f>
        <v>12699.142917392108</v>
      </c>
    </row>
    <row r="33" spans="2:38" x14ac:dyDescent="0.2">
      <c r="B33" s="248" t="s">
        <v>137</v>
      </c>
      <c r="C33" s="237">
        <f>SUM(D33:AL33)</f>
        <v>0</v>
      </c>
      <c r="D33" s="237">
        <f>D26*Parametre!$D$187</f>
        <v>0</v>
      </c>
      <c r="E33" s="237">
        <f>E26*Parametre!$D$187</f>
        <v>0</v>
      </c>
      <c r="F33" s="237">
        <f>F26*Parametre!$D$187</f>
        <v>0</v>
      </c>
      <c r="G33" s="237">
        <f>G26*Parametre!$D$187</f>
        <v>0</v>
      </c>
      <c r="H33" s="237">
        <f>H26*Parametre!$D$187</f>
        <v>0</v>
      </c>
      <c r="I33" s="237">
        <f>I26*Parametre!$D$187</f>
        <v>0</v>
      </c>
      <c r="J33" s="237">
        <f>J26*Parametre!$D$187</f>
        <v>0</v>
      </c>
      <c r="K33" s="237">
        <f>K26*Parametre!$D$187</f>
        <v>0</v>
      </c>
      <c r="L33" s="237">
        <f>L26*Parametre!$D$187</f>
        <v>0</v>
      </c>
      <c r="M33" s="237">
        <f>M26*Parametre!$D$187</f>
        <v>0</v>
      </c>
      <c r="N33" s="237">
        <f>N26*Parametre!$D$187</f>
        <v>0</v>
      </c>
      <c r="O33" s="237">
        <f>O26*Parametre!$D$187</f>
        <v>0</v>
      </c>
      <c r="P33" s="237">
        <f>P26*Parametre!$D$187</f>
        <v>0</v>
      </c>
      <c r="Q33" s="237">
        <f>Q26*Parametre!$D$187</f>
        <v>0</v>
      </c>
      <c r="R33" s="237">
        <f>R26*Parametre!$D$187</f>
        <v>0</v>
      </c>
      <c r="S33" s="237">
        <f>S26*Parametre!$D$187</f>
        <v>0</v>
      </c>
      <c r="T33" s="237">
        <f>T26*Parametre!$D$187</f>
        <v>0</v>
      </c>
      <c r="U33" s="237">
        <f>U26*Parametre!$D$187</f>
        <v>0</v>
      </c>
      <c r="V33" s="237">
        <f>V26*Parametre!$D$187</f>
        <v>0</v>
      </c>
      <c r="W33" s="237">
        <f>W26*Parametre!$D$187</f>
        <v>0</v>
      </c>
      <c r="X33" s="237">
        <f>X26*Parametre!$D$187</f>
        <v>0</v>
      </c>
      <c r="Y33" s="237">
        <f>Y26*Parametre!$D$187</f>
        <v>0</v>
      </c>
      <c r="Z33" s="237">
        <f>Z26*Parametre!$D$187</f>
        <v>0</v>
      </c>
      <c r="AA33" s="237">
        <f>AA26*Parametre!$D$187</f>
        <v>0</v>
      </c>
      <c r="AB33" s="237">
        <f>AB26*Parametre!$D$187</f>
        <v>0</v>
      </c>
      <c r="AC33" s="237">
        <f>AC26*Parametre!$D$187</f>
        <v>0</v>
      </c>
      <c r="AD33" s="237">
        <f>AD26*Parametre!$D$187</f>
        <v>0</v>
      </c>
      <c r="AE33" s="237">
        <f>AE26*Parametre!$D$187</f>
        <v>0</v>
      </c>
      <c r="AF33" s="237">
        <f>AF26*Parametre!$D$187</f>
        <v>0</v>
      </c>
      <c r="AG33" s="237">
        <f>AG26*Parametre!$D$187</f>
        <v>0</v>
      </c>
      <c r="AH33" s="237">
        <f>AH26*Parametre!$D$187</f>
        <v>0</v>
      </c>
      <c r="AI33" s="237">
        <f>AI26*Parametre!$D$187</f>
        <v>0</v>
      </c>
      <c r="AJ33" s="237">
        <f>AJ26*Parametre!$D$187</f>
        <v>0</v>
      </c>
      <c r="AK33" s="237">
        <f>AK26*Parametre!$D$187</f>
        <v>0</v>
      </c>
      <c r="AL33" s="237">
        <f>AL26*Parametre!$D$187</f>
        <v>0</v>
      </c>
    </row>
    <row r="34" spans="2:38" x14ac:dyDescent="0.2">
      <c r="B34" s="250" t="s">
        <v>9</v>
      </c>
      <c r="C34" s="251">
        <f>SUM(D34:AL34)</f>
        <v>7621199.4360495182</v>
      </c>
      <c r="D34" s="252">
        <f t="shared" ref="D34:AG34" si="18">SUM(D30:D33)</f>
        <v>0</v>
      </c>
      <c r="E34" s="251">
        <f t="shared" si="18"/>
        <v>0</v>
      </c>
      <c r="F34" s="251">
        <f t="shared" si="18"/>
        <v>0</v>
      </c>
      <c r="G34" s="251">
        <f t="shared" si="18"/>
        <v>165306.99643913243</v>
      </c>
      <c r="H34" s="251">
        <f t="shared" si="18"/>
        <v>165306.99643913243</v>
      </c>
      <c r="I34" s="251">
        <f t="shared" si="18"/>
        <v>165306.99643913243</v>
      </c>
      <c r="J34" s="251">
        <f t="shared" si="18"/>
        <v>165306.99643913243</v>
      </c>
      <c r="K34" s="251">
        <f t="shared" si="18"/>
        <v>165306.99643913243</v>
      </c>
      <c r="L34" s="251">
        <f t="shared" si="18"/>
        <v>165306.99643913243</v>
      </c>
      <c r="M34" s="251">
        <f t="shared" si="18"/>
        <v>165306.99643913243</v>
      </c>
      <c r="N34" s="251">
        <f t="shared" si="18"/>
        <v>165306.99643913243</v>
      </c>
      <c r="O34" s="251">
        <f t="shared" si="18"/>
        <v>165306.99643913243</v>
      </c>
      <c r="P34" s="251">
        <f t="shared" si="18"/>
        <v>165306.99643913243</v>
      </c>
      <c r="Q34" s="251">
        <f t="shared" si="18"/>
        <v>165306.99643913243</v>
      </c>
      <c r="R34" s="251">
        <f t="shared" si="18"/>
        <v>165306.99643913243</v>
      </c>
      <c r="S34" s="251">
        <f t="shared" si="18"/>
        <v>165306.99643913243</v>
      </c>
      <c r="T34" s="251">
        <f t="shared" si="18"/>
        <v>164976.38244625417</v>
      </c>
      <c r="U34" s="251">
        <f t="shared" si="18"/>
        <v>164646.42968136168</v>
      </c>
      <c r="V34" s="251">
        <f t="shared" si="18"/>
        <v>164317.13682199892</v>
      </c>
      <c r="W34" s="251">
        <f t="shared" si="18"/>
        <v>163988.50254835494</v>
      </c>
      <c r="X34" s="251">
        <f t="shared" si="18"/>
        <v>163660.52554325821</v>
      </c>
      <c r="Y34" s="251">
        <f t="shared" si="18"/>
        <v>163333.2044921717</v>
      </c>
      <c r="Z34" s="251">
        <f t="shared" si="18"/>
        <v>163006.53808318736</v>
      </c>
      <c r="AA34" s="251">
        <f t="shared" si="18"/>
        <v>162680.525007021</v>
      </c>
      <c r="AB34" s="251">
        <f t="shared" si="18"/>
        <v>162355.16395700691</v>
      </c>
      <c r="AC34" s="251">
        <f t="shared" si="18"/>
        <v>162030.45362909292</v>
      </c>
      <c r="AD34" s="251">
        <f t="shared" si="18"/>
        <v>161706.39272183468</v>
      </c>
      <c r="AE34" s="251">
        <f t="shared" si="18"/>
        <v>161382.97993639106</v>
      </c>
      <c r="AF34" s="251">
        <f t="shared" si="18"/>
        <v>161060.21397651828</v>
      </c>
      <c r="AG34" s="251">
        <f t="shared" si="18"/>
        <v>160738.0935485652</v>
      </c>
      <c r="AH34" s="251">
        <f t="shared" ref="AH34:AL34" si="19">SUM(AH30:AH33)</f>
        <v>320833.23472293623</v>
      </c>
      <c r="AI34" s="251">
        <f t="shared" si="19"/>
        <v>480287.35238023556</v>
      </c>
      <c r="AJ34" s="251">
        <f t="shared" si="19"/>
        <v>639102.37023396697</v>
      </c>
      <c r="AK34" s="251">
        <f t="shared" si="19"/>
        <v>797280.20686687354</v>
      </c>
      <c r="AL34" s="251">
        <f t="shared" si="19"/>
        <v>954822.77574376762</v>
      </c>
    </row>
    <row r="37" spans="2:38" x14ac:dyDescent="0.2">
      <c r="B37" s="232"/>
      <c r="C37" s="232"/>
      <c r="D37" s="232" t="s">
        <v>10</v>
      </c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2"/>
      <c r="AK37" s="232"/>
      <c r="AL37" s="232"/>
    </row>
    <row r="38" spans="2:38" x14ac:dyDescent="0.2">
      <c r="B38" s="234" t="s">
        <v>386</v>
      </c>
      <c r="C38" s="234"/>
      <c r="D38" s="239">
        <v>1</v>
      </c>
      <c r="E38" s="239">
        <v>2</v>
      </c>
      <c r="F38" s="239">
        <v>3</v>
      </c>
      <c r="G38" s="239">
        <v>4</v>
      </c>
      <c r="H38" s="239">
        <v>5</v>
      </c>
      <c r="I38" s="239">
        <v>6</v>
      </c>
      <c r="J38" s="239">
        <v>7</v>
      </c>
      <c r="K38" s="239">
        <v>8</v>
      </c>
      <c r="L38" s="239">
        <v>9</v>
      </c>
      <c r="M38" s="239">
        <v>10</v>
      </c>
      <c r="N38" s="239">
        <v>11</v>
      </c>
      <c r="O38" s="239">
        <v>12</v>
      </c>
      <c r="P38" s="239">
        <v>13</v>
      </c>
      <c r="Q38" s="239">
        <v>14</v>
      </c>
      <c r="R38" s="239">
        <v>15</v>
      </c>
      <c r="S38" s="239">
        <v>16</v>
      </c>
      <c r="T38" s="239">
        <v>17</v>
      </c>
      <c r="U38" s="239">
        <v>18</v>
      </c>
      <c r="V38" s="239">
        <v>19</v>
      </c>
      <c r="W38" s="239">
        <v>20</v>
      </c>
      <c r="X38" s="239">
        <v>21</v>
      </c>
      <c r="Y38" s="239">
        <v>22</v>
      </c>
      <c r="Z38" s="239">
        <v>23</v>
      </c>
      <c r="AA38" s="239">
        <v>24</v>
      </c>
      <c r="AB38" s="239">
        <v>25</v>
      </c>
      <c r="AC38" s="239">
        <v>26</v>
      </c>
      <c r="AD38" s="239">
        <v>27</v>
      </c>
      <c r="AE38" s="239">
        <v>28</v>
      </c>
      <c r="AF38" s="239">
        <v>29</v>
      </c>
      <c r="AG38" s="239">
        <v>30</v>
      </c>
      <c r="AH38" s="239">
        <v>31</v>
      </c>
      <c r="AI38" s="239">
        <v>32</v>
      </c>
      <c r="AJ38" s="239">
        <v>33</v>
      </c>
      <c r="AK38" s="239">
        <v>34</v>
      </c>
      <c r="AL38" s="239">
        <v>35</v>
      </c>
    </row>
    <row r="39" spans="2:38" x14ac:dyDescent="0.2">
      <c r="B39" s="235" t="s">
        <v>33</v>
      </c>
      <c r="C39" s="236" t="s">
        <v>9</v>
      </c>
      <c r="D39" s="241">
        <f t="shared" ref="D39:AG39" si="20">D4</f>
        <v>2025</v>
      </c>
      <c r="E39" s="241">
        <f t="shared" si="20"/>
        <v>2026</v>
      </c>
      <c r="F39" s="241">
        <f t="shared" si="20"/>
        <v>2027</v>
      </c>
      <c r="G39" s="241">
        <f t="shared" si="20"/>
        <v>2028</v>
      </c>
      <c r="H39" s="241">
        <f t="shared" si="20"/>
        <v>2029</v>
      </c>
      <c r="I39" s="241">
        <f t="shared" si="20"/>
        <v>2030</v>
      </c>
      <c r="J39" s="241">
        <f t="shared" si="20"/>
        <v>2031</v>
      </c>
      <c r="K39" s="241">
        <f t="shared" si="20"/>
        <v>2032</v>
      </c>
      <c r="L39" s="241">
        <f t="shared" si="20"/>
        <v>2033</v>
      </c>
      <c r="M39" s="241">
        <f t="shared" si="20"/>
        <v>2034</v>
      </c>
      <c r="N39" s="241">
        <f t="shared" si="20"/>
        <v>2035</v>
      </c>
      <c r="O39" s="241">
        <f t="shared" si="20"/>
        <v>2036</v>
      </c>
      <c r="P39" s="241">
        <f t="shared" si="20"/>
        <v>2037</v>
      </c>
      <c r="Q39" s="241">
        <f t="shared" si="20"/>
        <v>2038</v>
      </c>
      <c r="R39" s="241">
        <f t="shared" si="20"/>
        <v>2039</v>
      </c>
      <c r="S39" s="241">
        <f t="shared" si="20"/>
        <v>2040</v>
      </c>
      <c r="T39" s="241">
        <f t="shared" si="20"/>
        <v>2041</v>
      </c>
      <c r="U39" s="241">
        <f t="shared" si="20"/>
        <v>2042</v>
      </c>
      <c r="V39" s="241">
        <f t="shared" si="20"/>
        <v>2043</v>
      </c>
      <c r="W39" s="241">
        <f t="shared" si="20"/>
        <v>2044</v>
      </c>
      <c r="X39" s="241">
        <f t="shared" si="20"/>
        <v>2045</v>
      </c>
      <c r="Y39" s="241">
        <f t="shared" si="20"/>
        <v>2046</v>
      </c>
      <c r="Z39" s="241">
        <f t="shared" si="20"/>
        <v>2047</v>
      </c>
      <c r="AA39" s="241">
        <f t="shared" si="20"/>
        <v>2048</v>
      </c>
      <c r="AB39" s="241">
        <f t="shared" si="20"/>
        <v>2049</v>
      </c>
      <c r="AC39" s="241">
        <f t="shared" si="20"/>
        <v>2050</v>
      </c>
      <c r="AD39" s="241">
        <f t="shared" si="20"/>
        <v>2051</v>
      </c>
      <c r="AE39" s="241">
        <f t="shared" si="20"/>
        <v>2052</v>
      </c>
      <c r="AF39" s="241">
        <f t="shared" si="20"/>
        <v>2053</v>
      </c>
      <c r="AG39" s="241">
        <f t="shared" si="20"/>
        <v>2054</v>
      </c>
      <c r="AH39" s="241">
        <f t="shared" ref="AH39:AL39" si="21">AH4</f>
        <v>2055</v>
      </c>
      <c r="AI39" s="241">
        <f t="shared" si="21"/>
        <v>2056</v>
      </c>
      <c r="AJ39" s="241">
        <f t="shared" si="21"/>
        <v>2057</v>
      </c>
      <c r="AK39" s="241">
        <f t="shared" si="21"/>
        <v>2058</v>
      </c>
      <c r="AL39" s="241">
        <f t="shared" si="21"/>
        <v>2059</v>
      </c>
    </row>
    <row r="40" spans="2:38" x14ac:dyDescent="0.2">
      <c r="B40" s="232" t="s">
        <v>376</v>
      </c>
      <c r="C40" s="237">
        <f>SUM(D40:AL40)</f>
        <v>106236327.86169216</v>
      </c>
      <c r="D40" s="238">
        <f>Vstupy!C34/Vstupy!$B$13*Parametre!$D$165*Vstupy!C47</f>
        <v>0</v>
      </c>
      <c r="E40" s="238">
        <f>Vstupy!D34/Vstupy!$B$13*Parametre!$D$165*Vstupy!D47</f>
        <v>0</v>
      </c>
      <c r="F40" s="238">
        <f>Vstupy!E34/Vstupy!$B$13*Parametre!$D$165*Vstupy!E47</f>
        <v>0</v>
      </c>
      <c r="G40" s="238">
        <f>Vstupy!F34/Vstupy!$B$13*Parametre!$D$165*Vstupy!F47</f>
        <v>2304310.288544605</v>
      </c>
      <c r="H40" s="238">
        <f>Vstupy!G34/Vstupy!$B$13*Parametre!$D$165*Vstupy!G47</f>
        <v>2304310.288544605</v>
      </c>
      <c r="I40" s="238">
        <f>Vstupy!H34/Vstupy!$B$13*Parametre!$D$165*Vstupy!H47</f>
        <v>2304310.288544605</v>
      </c>
      <c r="J40" s="238">
        <f>Vstupy!I34/Vstupy!$B$13*Parametre!$D$165*Vstupy!I47</f>
        <v>2304310.288544605</v>
      </c>
      <c r="K40" s="238">
        <f>Vstupy!J34/Vstupy!$B$13*Parametre!$D$165*Vstupy!J47</f>
        <v>2304310.288544605</v>
      </c>
      <c r="L40" s="238">
        <f>Vstupy!K34/Vstupy!$B$13*Parametre!$D$165*Vstupy!K47</f>
        <v>2304310.288544605</v>
      </c>
      <c r="M40" s="238">
        <f>Vstupy!L34/Vstupy!$B$13*Parametre!$D$165*Vstupy!L47</f>
        <v>2304310.288544605</v>
      </c>
      <c r="N40" s="238">
        <f>Vstupy!M34/Vstupy!$B$13*Parametre!$D$165*Vstupy!M47</f>
        <v>2304310.288544605</v>
      </c>
      <c r="O40" s="238">
        <f>Vstupy!N34/Vstupy!$B$13*Parametre!$D$165*Vstupy!N47</f>
        <v>2304310.288544605</v>
      </c>
      <c r="P40" s="238">
        <f>Vstupy!O34/Vstupy!$B$13*Parametre!$D$165*Vstupy!O47</f>
        <v>2304310.288544605</v>
      </c>
      <c r="Q40" s="238">
        <f>Vstupy!P34/Vstupy!$B$13*Parametre!$D$165*Vstupy!P47</f>
        <v>2304310.288544605</v>
      </c>
      <c r="R40" s="238">
        <f>Vstupy!Q34/Vstupy!$B$13*Parametre!$D$165*Vstupy!Q47</f>
        <v>2304310.288544605</v>
      </c>
      <c r="S40" s="238">
        <f>Vstupy!R34/Vstupy!$B$13*Parametre!$D$165*Vstupy!R47</f>
        <v>2304310.288544605</v>
      </c>
      <c r="T40" s="238">
        <f>Vstupy!S34/Vstupy!$B$13*Parametre!$D$165*Vstupy!S47</f>
        <v>2299701.667967516</v>
      </c>
      <c r="U40" s="238">
        <f>Vstupy!T34/Vstupy!$B$13*Parametre!$D$165*Vstupy!T47</f>
        <v>2295102.264631581</v>
      </c>
      <c r="V40" s="238">
        <f>Vstupy!U34/Vstupy!$B$13*Parametre!$D$165*Vstupy!U47</f>
        <v>2290512.0601023179</v>
      </c>
      <c r="W40" s="238">
        <f>Vstupy!V34/Vstupy!$B$13*Parametre!$D$165*Vstupy!V47</f>
        <v>2285931.0359821133</v>
      </c>
      <c r="X40" s="238">
        <f>Vstupy!W34/Vstupy!$B$13*Parametre!$D$165*Vstupy!W47</f>
        <v>2281359.1739101489</v>
      </c>
      <c r="Y40" s="238">
        <f>Vstupy!X34/Vstupy!$B$13*Parametre!$D$165*Vstupy!X47</f>
        <v>2276796.4555623289</v>
      </c>
      <c r="Z40" s="238">
        <f>Vstupy!Y34/Vstupy!$B$13*Parametre!$D$165*Vstupy!Y47</f>
        <v>2272242.8626512038</v>
      </c>
      <c r="AA40" s="238">
        <f>Vstupy!Z34/Vstupy!$B$13*Parametre!$D$165*Vstupy!Z47</f>
        <v>2267698.3769259015</v>
      </c>
      <c r="AB40" s="238">
        <f>Vstupy!AA34/Vstupy!$B$13*Parametre!$D$165*Vstupy!AA47</f>
        <v>2263162.9801720493</v>
      </c>
      <c r="AC40" s="238">
        <f>Vstupy!AB34/Vstupy!$B$13*Parametre!$D$165*Vstupy!AB47</f>
        <v>2258636.6542117056</v>
      </c>
      <c r="AD40" s="238">
        <f>Vstupy!AC34/Vstupy!$B$13*Parametre!$D$165*Vstupy!AC47</f>
        <v>2254119.3809032822</v>
      </c>
      <c r="AE40" s="238">
        <f>Vstupy!AD34/Vstupy!$B$13*Parametre!$D$165*Vstupy!AD47</f>
        <v>2249611.1421414753</v>
      </c>
      <c r="AF40" s="238">
        <f>Vstupy!AE34/Vstupy!$B$13*Parametre!$D$165*Vstupy!AE47</f>
        <v>2245111.9198571923</v>
      </c>
      <c r="AG40" s="238">
        <f>Vstupy!AF34/Vstupy!$B$13*Parametre!$D$165*Vstupy!AF47</f>
        <v>2240621.6960174777</v>
      </c>
      <c r="AH40" s="238">
        <f>Vstupy!AG34/Vstupy!$B$13*Parametre!$D$165*Vstupy!AG47</f>
        <v>4472280.9052508865</v>
      </c>
      <c r="AI40" s="238">
        <f>Vstupy!AH34/Vstupy!$B$13*Parametre!$D$165*Vstupy!AH47</f>
        <v>6695004.5151605774</v>
      </c>
      <c r="AJ40" s="238">
        <f>Vstupy!AI34/Vstupy!$B$13*Parametre!$D$165*Vstupy!AI47</f>
        <v>8908819.3415070102</v>
      </c>
      <c r="AK40" s="238">
        <f>Vstupy!AJ34/Vstupy!$B$13*Parametre!$D$165*Vstupy!AJ47</f>
        <v>11113752.128529992</v>
      </c>
      <c r="AL40" s="238">
        <f>Vstupy!AK34/Vstupy!$B$13*Parametre!$D$165*Vstupy!AK47</f>
        <v>13309829.549127519</v>
      </c>
    </row>
    <row r="41" spans="2:38" x14ac:dyDescent="0.2">
      <c r="B41" s="232" t="s">
        <v>377</v>
      </c>
      <c r="C41" s="237">
        <f>SUM(D41:AL41)</f>
        <v>86920631.886838987</v>
      </c>
      <c r="D41" s="238">
        <f>Vstupy!C34/Vstupy!$B$13*Parametre!$D$166*Vstupy!C47</f>
        <v>0</v>
      </c>
      <c r="E41" s="238">
        <f>Vstupy!D34/Vstupy!$B$13*Parametre!$D$166*Vstupy!D47</f>
        <v>0</v>
      </c>
      <c r="F41" s="238">
        <f>Vstupy!E34/Vstupy!$B$13*Parametre!$D$166*Vstupy!E47</f>
        <v>0</v>
      </c>
      <c r="G41" s="238">
        <f>Vstupy!F34/Vstupy!$B$13*Parametre!$D$166*Vstupy!F47</f>
        <v>1885344.7815364946</v>
      </c>
      <c r="H41" s="238">
        <f>Vstupy!G34/Vstupy!$B$13*Parametre!$D$166*Vstupy!G47</f>
        <v>1885344.7815364946</v>
      </c>
      <c r="I41" s="238">
        <f>Vstupy!H34/Vstupy!$B$13*Parametre!$D$166*Vstupy!H47</f>
        <v>1885344.7815364946</v>
      </c>
      <c r="J41" s="238">
        <f>Vstupy!I34/Vstupy!$B$13*Parametre!$D$166*Vstupy!I47</f>
        <v>1885344.7815364946</v>
      </c>
      <c r="K41" s="238">
        <f>Vstupy!J34/Vstupy!$B$13*Parametre!$D$166*Vstupy!J47</f>
        <v>1885344.7815364946</v>
      </c>
      <c r="L41" s="238">
        <f>Vstupy!K34/Vstupy!$B$13*Parametre!$D$166*Vstupy!K47</f>
        <v>1885344.7815364946</v>
      </c>
      <c r="M41" s="238">
        <f>Vstupy!L34/Vstupy!$B$13*Parametre!$D$166*Vstupy!L47</f>
        <v>1885344.7815364946</v>
      </c>
      <c r="N41" s="238">
        <f>Vstupy!M34/Vstupy!$B$13*Parametre!$D$166*Vstupy!M47</f>
        <v>1885344.7815364946</v>
      </c>
      <c r="O41" s="238">
        <f>Vstupy!N34/Vstupy!$B$13*Parametre!$D$166*Vstupy!N47</f>
        <v>1885344.7815364946</v>
      </c>
      <c r="P41" s="238">
        <f>Vstupy!O34/Vstupy!$B$13*Parametre!$D$166*Vstupy!O47</f>
        <v>1885344.7815364946</v>
      </c>
      <c r="Q41" s="238">
        <f>Vstupy!P34/Vstupy!$B$13*Parametre!$D$166*Vstupy!P47</f>
        <v>1885344.7815364946</v>
      </c>
      <c r="R41" s="238">
        <f>Vstupy!Q34/Vstupy!$B$13*Parametre!$D$166*Vstupy!Q47</f>
        <v>1885344.7815364946</v>
      </c>
      <c r="S41" s="238">
        <f>Vstupy!R34/Vstupy!$B$13*Parametre!$D$166*Vstupy!R47</f>
        <v>1885344.7815364946</v>
      </c>
      <c r="T41" s="238">
        <f>Vstupy!S34/Vstupy!$B$13*Parametre!$D$166*Vstupy!S47</f>
        <v>1881574.0919734216</v>
      </c>
      <c r="U41" s="238">
        <f>Vstupy!T34/Vstupy!$B$13*Parametre!$D$166*Vstupy!T47</f>
        <v>1877810.9437894751</v>
      </c>
      <c r="V41" s="238">
        <f>Vstupy!U34/Vstupy!$B$13*Parametre!$D$166*Vstupy!U47</f>
        <v>1874055.321901896</v>
      </c>
      <c r="W41" s="238">
        <f>Vstupy!V34/Vstupy!$B$13*Parametre!$D$166*Vstupy!V47</f>
        <v>1870307.2112580927</v>
      </c>
      <c r="X41" s="238">
        <f>Vstupy!W34/Vstupy!$B$13*Parametre!$D$166*Vstupy!W47</f>
        <v>1866566.5968355762</v>
      </c>
      <c r="Y41" s="238">
        <f>Vstupy!X34/Vstupy!$B$13*Parametre!$D$166*Vstupy!X47</f>
        <v>1862833.463641905</v>
      </c>
      <c r="Z41" s="238">
        <f>Vstupy!Y34/Vstupy!$B$13*Parametre!$D$166*Vstupy!Y47</f>
        <v>1859107.7967146209</v>
      </c>
      <c r="AA41" s="238">
        <f>Vstupy!Z34/Vstupy!$B$13*Parametre!$D$166*Vstupy!Z47</f>
        <v>1855389.5811211916</v>
      </c>
      <c r="AB41" s="238">
        <f>Vstupy!AA34/Vstupy!$B$13*Parametre!$D$166*Vstupy!AA47</f>
        <v>1851678.8019589493</v>
      </c>
      <c r="AC41" s="238">
        <f>Vstupy!AB34/Vstupy!$B$13*Parametre!$D$166*Vstupy!AB47</f>
        <v>1847975.4443550317</v>
      </c>
      <c r="AD41" s="238">
        <f>Vstupy!AC34/Vstupy!$B$13*Parametre!$D$166*Vstupy!AC47</f>
        <v>1844279.4934663214</v>
      </c>
      <c r="AE41" s="238">
        <f>Vstupy!AD34/Vstupy!$B$13*Parametre!$D$166*Vstupy!AD47</f>
        <v>1840590.9344793886</v>
      </c>
      <c r="AF41" s="238">
        <f>Vstupy!AE34/Vstupy!$B$13*Parametre!$D$166*Vstupy!AE47</f>
        <v>1836909.7526104297</v>
      </c>
      <c r="AG41" s="238">
        <f>Vstupy!AF34/Vstupy!$B$13*Parametre!$D$166*Vstupy!AF47</f>
        <v>1833235.9331052089</v>
      </c>
      <c r="AH41" s="238">
        <f>Vstupy!AG34/Vstupy!$B$13*Parametre!$D$166*Vstupy!AG47</f>
        <v>3659138.9224779974</v>
      </c>
      <c r="AI41" s="238">
        <f>Vstupy!AH34/Vstupy!$B$13*Parametre!$D$166*Vstupy!AH47</f>
        <v>5477730.9669495616</v>
      </c>
      <c r="AJ41" s="238">
        <f>Vstupy!AI34/Vstupy!$B$13*Parametre!$D$166*Vstupy!AI47</f>
        <v>7289034.0066875517</v>
      </c>
      <c r="AK41" s="238">
        <f>Vstupy!AJ34/Vstupy!$B$13*Parametre!$D$166*Vstupy!AJ47</f>
        <v>9093069.9233427197</v>
      </c>
      <c r="AL41" s="238">
        <f>Vstupy!AK34/Vstupy!$B$13*Parametre!$D$166*Vstupy!AK47</f>
        <v>10889860.540195242</v>
      </c>
    </row>
    <row r="42" spans="2:38" x14ac:dyDescent="0.2">
      <c r="B42" s="232" t="s">
        <v>378</v>
      </c>
      <c r="C42" s="237">
        <f>SUM(D42:AL42)</f>
        <v>2603615.6528382124</v>
      </c>
      <c r="D42" s="238">
        <f>Vstupy!C34/Vstupy!$B$13*Parametre!$D$167*Vstupy!C47</f>
        <v>0</v>
      </c>
      <c r="E42" s="238">
        <f>Vstupy!D34/Vstupy!$B$13*Parametre!$D$167*Vstupy!D47</f>
        <v>0</v>
      </c>
      <c r="F42" s="238">
        <f>Vstupy!E34/Vstupy!$B$13*Parametre!$D$167*Vstupy!E47</f>
        <v>0</v>
      </c>
      <c r="G42" s="238">
        <f>Vstupy!F34/Vstupy!$B$13*Parametre!$D$167*Vstupy!F47</f>
        <v>56473.510116629797</v>
      </c>
      <c r="H42" s="238">
        <f>Vstupy!G34/Vstupy!$B$13*Parametre!$D$167*Vstupy!G47</f>
        <v>56473.510116629797</v>
      </c>
      <c r="I42" s="238">
        <f>Vstupy!H34/Vstupy!$B$13*Parametre!$D$167*Vstupy!H47</f>
        <v>56473.510116629797</v>
      </c>
      <c r="J42" s="238">
        <f>Vstupy!I34/Vstupy!$B$13*Parametre!$D$167*Vstupy!I47</f>
        <v>56473.510116629797</v>
      </c>
      <c r="K42" s="238">
        <f>Vstupy!J34/Vstupy!$B$13*Parametre!$D$167*Vstupy!J47</f>
        <v>56473.510116629797</v>
      </c>
      <c r="L42" s="238">
        <f>Vstupy!K34/Vstupy!$B$13*Parametre!$D$167*Vstupy!K47</f>
        <v>56473.510116629797</v>
      </c>
      <c r="M42" s="238">
        <f>Vstupy!L34/Vstupy!$B$13*Parametre!$D$167*Vstupy!L47</f>
        <v>56473.510116629797</v>
      </c>
      <c r="N42" s="238">
        <f>Vstupy!M34/Vstupy!$B$13*Parametre!$D$167*Vstupy!M47</f>
        <v>56473.510116629797</v>
      </c>
      <c r="O42" s="238">
        <f>Vstupy!N34/Vstupy!$B$13*Parametre!$D$167*Vstupy!N47</f>
        <v>56473.510116629797</v>
      </c>
      <c r="P42" s="238">
        <f>Vstupy!O34/Vstupy!$B$13*Parametre!$D$167*Vstupy!O47</f>
        <v>56473.510116629797</v>
      </c>
      <c r="Q42" s="238">
        <f>Vstupy!P34/Vstupy!$B$13*Parametre!$D$167*Vstupy!P47</f>
        <v>56473.510116629797</v>
      </c>
      <c r="R42" s="238">
        <f>Vstupy!Q34/Vstupy!$B$13*Parametre!$D$167*Vstupy!Q47</f>
        <v>56473.510116629797</v>
      </c>
      <c r="S42" s="238">
        <f>Vstupy!R34/Vstupy!$B$13*Parametre!$D$167*Vstupy!R47</f>
        <v>56473.510116629797</v>
      </c>
      <c r="T42" s="238">
        <f>Vstupy!S34/Vstupy!$B$13*Parametre!$D$167*Vstupy!S47</f>
        <v>56360.563096396538</v>
      </c>
      <c r="U42" s="238">
        <f>Vstupy!T34/Vstupy!$B$13*Parametre!$D$167*Vstupy!T47</f>
        <v>56247.84197020375</v>
      </c>
      <c r="V42" s="238">
        <f>Vstupy!U34/Vstupy!$B$13*Parametre!$D$167*Vstupy!U47</f>
        <v>56135.346286263339</v>
      </c>
      <c r="W42" s="238">
        <f>Vstupy!V34/Vstupy!$B$13*Parametre!$D$167*Vstupy!V47</f>
        <v>56023.075593690824</v>
      </c>
      <c r="X42" s="238">
        <f>Vstupy!W34/Vstupy!$B$13*Parametre!$D$167*Vstupy!W47</f>
        <v>55911.029442503437</v>
      </c>
      <c r="Y42" s="238">
        <f>Vstupy!X34/Vstupy!$B$13*Parametre!$D$167*Vstupy!X47</f>
        <v>55799.207383618428</v>
      </c>
      <c r="Z42" s="238">
        <f>Vstupy!Y34/Vstupy!$B$13*Parametre!$D$167*Vstupy!Y47</f>
        <v>55687.608968851186</v>
      </c>
      <c r="AA42" s="238">
        <f>Vstupy!Z34/Vstupy!$B$13*Parametre!$D$167*Vstupy!Z47</f>
        <v>55576.233750913481</v>
      </c>
      <c r="AB42" s="238">
        <f>Vstupy!AA34/Vstupy!$B$13*Parametre!$D$167*Vstupy!AA47</f>
        <v>55465.081283411651</v>
      </c>
      <c r="AC42" s="238">
        <f>Vstupy!AB34/Vstupy!$B$13*Parametre!$D$167*Vstupy!AB47</f>
        <v>55354.151120844836</v>
      </c>
      <c r="AD42" s="238">
        <f>Vstupy!AC34/Vstupy!$B$13*Parametre!$D$167*Vstupy!AC47</f>
        <v>55243.442818603136</v>
      </c>
      <c r="AE42" s="238">
        <f>Vstupy!AD34/Vstupy!$B$13*Parametre!$D$167*Vstupy!AD47</f>
        <v>55132.955932965931</v>
      </c>
      <c r="AF42" s="238">
        <f>Vstupy!AE34/Vstupy!$B$13*Parametre!$D$167*Vstupy!AE47</f>
        <v>55022.690021099996</v>
      </c>
      <c r="AG42" s="238">
        <f>Vstupy!AF34/Vstupy!$B$13*Parametre!$D$167*Vstupy!AF47</f>
        <v>54912.644641057792</v>
      </c>
      <c r="AH42" s="238">
        <f>Vstupy!AG34/Vstupy!$B$13*Parametre!$D$167*Vstupy!AG47</f>
        <v>109605.63870355138</v>
      </c>
      <c r="AI42" s="238">
        <f>Vstupy!AH34/Vstupy!$B$13*Parametre!$D$167*Vstupy!AH47</f>
        <v>164079.64113921643</v>
      </c>
      <c r="AJ42" s="238">
        <f>Vstupy!AI34/Vstupy!$B$13*Parametre!$D$167*Vstupy!AI47</f>
        <v>218335.30914258401</v>
      </c>
      <c r="AK42" s="238">
        <f>Vstupy!AJ34/Vstupy!$B$13*Parametre!$D$167*Vstupy!AJ47</f>
        <v>272373.29815537349</v>
      </c>
      <c r="AL42" s="238">
        <f>Vstupy!AK34/Vstupy!$B$13*Parametre!$D$167*Vstupy!AK47</f>
        <v>326194.26187087531</v>
      </c>
    </row>
    <row r="43" spans="2:38" x14ac:dyDescent="0.2">
      <c r="B43" s="232" t="s">
        <v>137</v>
      </c>
      <c r="C43" s="237">
        <f>SUM(D43:AL43)</f>
        <v>0</v>
      </c>
      <c r="D43" s="238">
        <v>0</v>
      </c>
      <c r="E43" s="238">
        <v>0</v>
      </c>
      <c r="F43" s="238">
        <v>0</v>
      </c>
      <c r="G43" s="238">
        <v>0</v>
      </c>
      <c r="H43" s="238">
        <v>0</v>
      </c>
      <c r="I43" s="238">
        <v>0</v>
      </c>
      <c r="J43" s="238">
        <v>0</v>
      </c>
      <c r="K43" s="238">
        <v>0</v>
      </c>
      <c r="L43" s="238">
        <v>0</v>
      </c>
      <c r="M43" s="238">
        <v>0</v>
      </c>
      <c r="N43" s="238">
        <v>0</v>
      </c>
      <c r="O43" s="238">
        <v>0</v>
      </c>
      <c r="P43" s="238">
        <v>0</v>
      </c>
      <c r="Q43" s="238">
        <v>0</v>
      </c>
      <c r="R43" s="238">
        <v>0</v>
      </c>
      <c r="S43" s="238">
        <v>0</v>
      </c>
      <c r="T43" s="238">
        <v>0</v>
      </c>
      <c r="U43" s="238">
        <v>0</v>
      </c>
      <c r="V43" s="238">
        <v>0</v>
      </c>
      <c r="W43" s="238">
        <v>0</v>
      </c>
      <c r="X43" s="238">
        <v>0</v>
      </c>
      <c r="Y43" s="238">
        <v>0</v>
      </c>
      <c r="Z43" s="238">
        <v>0</v>
      </c>
      <c r="AA43" s="238">
        <v>0</v>
      </c>
      <c r="AB43" s="238">
        <v>0</v>
      </c>
      <c r="AC43" s="238">
        <v>0</v>
      </c>
      <c r="AD43" s="238">
        <v>0</v>
      </c>
      <c r="AE43" s="238">
        <v>0</v>
      </c>
      <c r="AF43" s="238">
        <v>0</v>
      </c>
      <c r="AG43" s="238">
        <v>0</v>
      </c>
      <c r="AH43" s="238">
        <v>0</v>
      </c>
      <c r="AI43" s="238">
        <v>0</v>
      </c>
      <c r="AJ43" s="238">
        <v>0</v>
      </c>
      <c r="AK43" s="238">
        <v>0</v>
      </c>
      <c r="AL43" s="238">
        <v>0</v>
      </c>
    </row>
    <row r="46" spans="2:38" x14ac:dyDescent="0.2">
      <c r="B46" s="232"/>
      <c r="C46" s="232"/>
      <c r="D46" s="232" t="s">
        <v>10</v>
      </c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2"/>
      <c r="AK46" s="232"/>
      <c r="AL46" s="232"/>
    </row>
    <row r="47" spans="2:38" x14ac:dyDescent="0.2">
      <c r="B47" s="234" t="s">
        <v>387</v>
      </c>
      <c r="C47" s="234"/>
      <c r="D47" s="239">
        <v>1</v>
      </c>
      <c r="E47" s="239">
        <v>2</v>
      </c>
      <c r="F47" s="239">
        <v>3</v>
      </c>
      <c r="G47" s="239">
        <v>4</v>
      </c>
      <c r="H47" s="239">
        <v>5</v>
      </c>
      <c r="I47" s="239">
        <v>6</v>
      </c>
      <c r="J47" s="239">
        <v>7</v>
      </c>
      <c r="K47" s="239">
        <v>8</v>
      </c>
      <c r="L47" s="239">
        <v>9</v>
      </c>
      <c r="M47" s="239">
        <v>10</v>
      </c>
      <c r="N47" s="239">
        <v>11</v>
      </c>
      <c r="O47" s="239">
        <v>12</v>
      </c>
      <c r="P47" s="239">
        <v>13</v>
      </c>
      <c r="Q47" s="239">
        <v>14</v>
      </c>
      <c r="R47" s="239">
        <v>15</v>
      </c>
      <c r="S47" s="239">
        <v>16</v>
      </c>
      <c r="T47" s="239">
        <v>17</v>
      </c>
      <c r="U47" s="239">
        <v>18</v>
      </c>
      <c r="V47" s="239">
        <v>19</v>
      </c>
      <c r="W47" s="239">
        <v>20</v>
      </c>
      <c r="X47" s="239">
        <v>21</v>
      </c>
      <c r="Y47" s="239">
        <v>22</v>
      </c>
      <c r="Z47" s="239">
        <v>23</v>
      </c>
      <c r="AA47" s="239">
        <v>24</v>
      </c>
      <c r="AB47" s="239">
        <v>25</v>
      </c>
      <c r="AC47" s="239">
        <v>26</v>
      </c>
      <c r="AD47" s="239">
        <v>27</v>
      </c>
      <c r="AE47" s="239">
        <v>28</v>
      </c>
      <c r="AF47" s="239">
        <v>29</v>
      </c>
      <c r="AG47" s="239">
        <v>30</v>
      </c>
      <c r="AH47" s="239">
        <v>31</v>
      </c>
      <c r="AI47" s="239">
        <v>32</v>
      </c>
      <c r="AJ47" s="239">
        <v>33</v>
      </c>
      <c r="AK47" s="239">
        <v>34</v>
      </c>
      <c r="AL47" s="239">
        <v>35</v>
      </c>
    </row>
    <row r="48" spans="2:38" x14ac:dyDescent="0.2">
      <c r="B48" s="235" t="s">
        <v>34</v>
      </c>
      <c r="C48" s="236" t="s">
        <v>9</v>
      </c>
      <c r="D48" s="241">
        <f t="shared" ref="D48:AG48" si="22">D4</f>
        <v>2025</v>
      </c>
      <c r="E48" s="241">
        <f t="shared" si="22"/>
        <v>2026</v>
      </c>
      <c r="F48" s="241">
        <f t="shared" si="22"/>
        <v>2027</v>
      </c>
      <c r="G48" s="241">
        <f t="shared" si="22"/>
        <v>2028</v>
      </c>
      <c r="H48" s="241">
        <f t="shared" si="22"/>
        <v>2029</v>
      </c>
      <c r="I48" s="241">
        <f t="shared" si="22"/>
        <v>2030</v>
      </c>
      <c r="J48" s="241">
        <f t="shared" si="22"/>
        <v>2031</v>
      </c>
      <c r="K48" s="241">
        <f t="shared" si="22"/>
        <v>2032</v>
      </c>
      <c r="L48" s="241">
        <f t="shared" si="22"/>
        <v>2033</v>
      </c>
      <c r="M48" s="241">
        <f t="shared" si="22"/>
        <v>2034</v>
      </c>
      <c r="N48" s="241">
        <f t="shared" si="22"/>
        <v>2035</v>
      </c>
      <c r="O48" s="241">
        <f t="shared" si="22"/>
        <v>2036</v>
      </c>
      <c r="P48" s="241">
        <f t="shared" si="22"/>
        <v>2037</v>
      </c>
      <c r="Q48" s="241">
        <f t="shared" si="22"/>
        <v>2038</v>
      </c>
      <c r="R48" s="241">
        <f t="shared" si="22"/>
        <v>2039</v>
      </c>
      <c r="S48" s="241">
        <f t="shared" si="22"/>
        <v>2040</v>
      </c>
      <c r="T48" s="241">
        <f t="shared" si="22"/>
        <v>2041</v>
      </c>
      <c r="U48" s="241">
        <f t="shared" si="22"/>
        <v>2042</v>
      </c>
      <c r="V48" s="241">
        <f t="shared" si="22"/>
        <v>2043</v>
      </c>
      <c r="W48" s="241">
        <f t="shared" si="22"/>
        <v>2044</v>
      </c>
      <c r="X48" s="241">
        <f t="shared" si="22"/>
        <v>2045</v>
      </c>
      <c r="Y48" s="241">
        <f t="shared" si="22"/>
        <v>2046</v>
      </c>
      <c r="Z48" s="241">
        <f t="shared" si="22"/>
        <v>2047</v>
      </c>
      <c r="AA48" s="241">
        <f t="shared" si="22"/>
        <v>2048</v>
      </c>
      <c r="AB48" s="241">
        <f t="shared" si="22"/>
        <v>2049</v>
      </c>
      <c r="AC48" s="241">
        <f t="shared" si="22"/>
        <v>2050</v>
      </c>
      <c r="AD48" s="241">
        <f t="shared" si="22"/>
        <v>2051</v>
      </c>
      <c r="AE48" s="241">
        <f t="shared" si="22"/>
        <v>2052</v>
      </c>
      <c r="AF48" s="241">
        <f t="shared" si="22"/>
        <v>2053</v>
      </c>
      <c r="AG48" s="241">
        <f t="shared" si="22"/>
        <v>2054</v>
      </c>
      <c r="AH48" s="241">
        <f t="shared" ref="AH48:AL48" si="23">AH4</f>
        <v>2055</v>
      </c>
      <c r="AI48" s="241">
        <f t="shared" si="23"/>
        <v>2056</v>
      </c>
      <c r="AJ48" s="241">
        <f t="shared" si="23"/>
        <v>2057</v>
      </c>
      <c r="AK48" s="241">
        <f t="shared" si="23"/>
        <v>2058</v>
      </c>
      <c r="AL48" s="241">
        <f t="shared" si="23"/>
        <v>2059</v>
      </c>
    </row>
    <row r="49" spans="2:38" x14ac:dyDescent="0.2">
      <c r="B49" s="232" t="s">
        <v>376</v>
      </c>
      <c r="C49" s="237">
        <f>SUM(D49:AL49)</f>
        <v>0</v>
      </c>
      <c r="D49" s="238">
        <v>0</v>
      </c>
      <c r="E49" s="238">
        <v>0</v>
      </c>
      <c r="F49" s="238">
        <v>0</v>
      </c>
      <c r="G49" s="238">
        <v>0</v>
      </c>
      <c r="H49" s="238">
        <v>0</v>
      </c>
      <c r="I49" s="238">
        <v>0</v>
      </c>
      <c r="J49" s="238">
        <v>0</v>
      </c>
      <c r="K49" s="238">
        <v>0</v>
      </c>
      <c r="L49" s="238">
        <v>0</v>
      </c>
      <c r="M49" s="238">
        <v>0</v>
      </c>
      <c r="N49" s="238">
        <v>0</v>
      </c>
      <c r="O49" s="238">
        <v>0</v>
      </c>
      <c r="P49" s="238">
        <v>0</v>
      </c>
      <c r="Q49" s="238">
        <v>0</v>
      </c>
      <c r="R49" s="238">
        <v>0</v>
      </c>
      <c r="S49" s="238">
        <v>0</v>
      </c>
      <c r="T49" s="238">
        <v>0</v>
      </c>
      <c r="U49" s="238">
        <v>0</v>
      </c>
      <c r="V49" s="238">
        <v>0</v>
      </c>
      <c r="W49" s="238">
        <v>0</v>
      </c>
      <c r="X49" s="238">
        <v>0</v>
      </c>
      <c r="Y49" s="238">
        <v>0</v>
      </c>
      <c r="Z49" s="238">
        <v>0</v>
      </c>
      <c r="AA49" s="238">
        <v>0</v>
      </c>
      <c r="AB49" s="238">
        <v>0</v>
      </c>
      <c r="AC49" s="238">
        <v>0</v>
      </c>
      <c r="AD49" s="238">
        <v>0</v>
      </c>
      <c r="AE49" s="238">
        <v>0</v>
      </c>
      <c r="AF49" s="238">
        <v>0</v>
      </c>
      <c r="AG49" s="238">
        <v>0</v>
      </c>
      <c r="AH49" s="238">
        <v>0</v>
      </c>
      <c r="AI49" s="238">
        <v>0</v>
      </c>
      <c r="AJ49" s="238">
        <v>0</v>
      </c>
      <c r="AK49" s="238">
        <v>0</v>
      </c>
      <c r="AL49" s="238">
        <v>0</v>
      </c>
    </row>
    <row r="50" spans="2:38" x14ac:dyDescent="0.2">
      <c r="B50" s="232" t="s">
        <v>377</v>
      </c>
      <c r="C50" s="237">
        <f>SUM(D50:AL50)</f>
        <v>0</v>
      </c>
      <c r="D50" s="238">
        <v>0</v>
      </c>
      <c r="E50" s="238">
        <v>0</v>
      </c>
      <c r="F50" s="238">
        <v>0</v>
      </c>
      <c r="G50" s="238">
        <v>0</v>
      </c>
      <c r="H50" s="238">
        <v>0</v>
      </c>
      <c r="I50" s="238">
        <v>0</v>
      </c>
      <c r="J50" s="238">
        <v>0</v>
      </c>
      <c r="K50" s="238">
        <v>0</v>
      </c>
      <c r="L50" s="238">
        <v>0</v>
      </c>
      <c r="M50" s="238">
        <v>0</v>
      </c>
      <c r="N50" s="238">
        <v>0</v>
      </c>
      <c r="O50" s="238">
        <v>0</v>
      </c>
      <c r="P50" s="238">
        <v>0</v>
      </c>
      <c r="Q50" s="238">
        <v>0</v>
      </c>
      <c r="R50" s="238">
        <v>0</v>
      </c>
      <c r="S50" s="238">
        <v>0</v>
      </c>
      <c r="T50" s="238">
        <v>0</v>
      </c>
      <c r="U50" s="238">
        <v>0</v>
      </c>
      <c r="V50" s="238">
        <v>0</v>
      </c>
      <c r="W50" s="238">
        <v>0</v>
      </c>
      <c r="X50" s="238">
        <v>0</v>
      </c>
      <c r="Y50" s="238">
        <v>0</v>
      </c>
      <c r="Z50" s="238">
        <v>0</v>
      </c>
      <c r="AA50" s="238">
        <v>0</v>
      </c>
      <c r="AB50" s="238">
        <v>0</v>
      </c>
      <c r="AC50" s="238">
        <v>0</v>
      </c>
      <c r="AD50" s="238">
        <v>0</v>
      </c>
      <c r="AE50" s="238">
        <v>0</v>
      </c>
      <c r="AF50" s="238">
        <v>0</v>
      </c>
      <c r="AG50" s="238">
        <v>0</v>
      </c>
      <c r="AH50" s="238">
        <v>0</v>
      </c>
      <c r="AI50" s="238">
        <v>0</v>
      </c>
      <c r="AJ50" s="238">
        <v>0</v>
      </c>
      <c r="AK50" s="238">
        <v>0</v>
      </c>
      <c r="AL50" s="238">
        <v>0</v>
      </c>
    </row>
    <row r="51" spans="2:38" x14ac:dyDescent="0.2">
      <c r="B51" s="232" t="s">
        <v>378</v>
      </c>
      <c r="C51" s="237">
        <f>SUM(D51:AL51)</f>
        <v>0</v>
      </c>
      <c r="D51" s="238">
        <v>0</v>
      </c>
      <c r="E51" s="238">
        <v>0</v>
      </c>
      <c r="F51" s="238">
        <v>0</v>
      </c>
      <c r="G51" s="238">
        <v>0</v>
      </c>
      <c r="H51" s="238">
        <v>0</v>
      </c>
      <c r="I51" s="238">
        <v>0</v>
      </c>
      <c r="J51" s="238">
        <v>0</v>
      </c>
      <c r="K51" s="238">
        <v>0</v>
      </c>
      <c r="L51" s="238">
        <v>0</v>
      </c>
      <c r="M51" s="238">
        <v>0</v>
      </c>
      <c r="N51" s="238">
        <v>0</v>
      </c>
      <c r="O51" s="238">
        <v>0</v>
      </c>
      <c r="P51" s="238">
        <v>0</v>
      </c>
      <c r="Q51" s="238">
        <v>0</v>
      </c>
      <c r="R51" s="238">
        <v>0</v>
      </c>
      <c r="S51" s="238">
        <v>0</v>
      </c>
      <c r="T51" s="238">
        <v>0</v>
      </c>
      <c r="U51" s="238">
        <v>0</v>
      </c>
      <c r="V51" s="238">
        <v>0</v>
      </c>
      <c r="W51" s="238">
        <v>0</v>
      </c>
      <c r="X51" s="238">
        <v>0</v>
      </c>
      <c r="Y51" s="238">
        <v>0</v>
      </c>
      <c r="Z51" s="238">
        <v>0</v>
      </c>
      <c r="AA51" s="238">
        <v>0</v>
      </c>
      <c r="AB51" s="238">
        <v>0</v>
      </c>
      <c r="AC51" s="238">
        <v>0</v>
      </c>
      <c r="AD51" s="238">
        <v>0</v>
      </c>
      <c r="AE51" s="238">
        <v>0</v>
      </c>
      <c r="AF51" s="238">
        <v>0</v>
      </c>
      <c r="AG51" s="238">
        <v>0</v>
      </c>
      <c r="AH51" s="238">
        <v>0</v>
      </c>
      <c r="AI51" s="238">
        <v>0</v>
      </c>
      <c r="AJ51" s="238">
        <v>0</v>
      </c>
      <c r="AK51" s="238">
        <v>0</v>
      </c>
      <c r="AL51" s="238">
        <v>0</v>
      </c>
    </row>
    <row r="52" spans="2:38" x14ac:dyDescent="0.2">
      <c r="B52" s="232" t="s">
        <v>137</v>
      </c>
      <c r="C52" s="237">
        <f>SUM(D52:AL52)</f>
        <v>0</v>
      </c>
      <c r="D52" s="238">
        <v>0</v>
      </c>
      <c r="E52" s="238">
        <v>0</v>
      </c>
      <c r="F52" s="238">
        <v>0</v>
      </c>
      <c r="G52" s="238">
        <v>0</v>
      </c>
      <c r="H52" s="238">
        <v>0</v>
      </c>
      <c r="I52" s="238">
        <v>0</v>
      </c>
      <c r="J52" s="238">
        <v>0</v>
      </c>
      <c r="K52" s="238">
        <v>0</v>
      </c>
      <c r="L52" s="238">
        <v>0</v>
      </c>
      <c r="M52" s="238">
        <v>0</v>
      </c>
      <c r="N52" s="238">
        <v>0</v>
      </c>
      <c r="O52" s="238">
        <v>0</v>
      </c>
      <c r="P52" s="238">
        <v>0</v>
      </c>
      <c r="Q52" s="238">
        <v>0</v>
      </c>
      <c r="R52" s="238">
        <v>0</v>
      </c>
      <c r="S52" s="238">
        <v>0</v>
      </c>
      <c r="T52" s="238">
        <v>0</v>
      </c>
      <c r="U52" s="238">
        <v>0</v>
      </c>
      <c r="V52" s="238">
        <v>0</v>
      </c>
      <c r="W52" s="238">
        <v>0</v>
      </c>
      <c r="X52" s="238">
        <v>0</v>
      </c>
      <c r="Y52" s="238">
        <v>0</v>
      </c>
      <c r="Z52" s="238">
        <v>0</v>
      </c>
      <c r="AA52" s="238">
        <v>0</v>
      </c>
      <c r="AB52" s="238">
        <v>0</v>
      </c>
      <c r="AC52" s="238">
        <v>0</v>
      </c>
      <c r="AD52" s="238">
        <v>0</v>
      </c>
      <c r="AE52" s="238">
        <v>0</v>
      </c>
      <c r="AF52" s="238">
        <v>0</v>
      </c>
      <c r="AG52" s="238">
        <v>0</v>
      </c>
      <c r="AH52" s="238">
        <v>0</v>
      </c>
      <c r="AI52" s="238">
        <v>0</v>
      </c>
      <c r="AJ52" s="238">
        <v>0</v>
      </c>
      <c r="AK52" s="238">
        <v>0</v>
      </c>
      <c r="AL52" s="238">
        <v>0</v>
      </c>
    </row>
    <row r="55" spans="2:38" x14ac:dyDescent="0.2">
      <c r="B55" s="232"/>
      <c r="C55" s="232"/>
      <c r="D55" s="232" t="s">
        <v>10</v>
      </c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  <c r="AA55" s="232"/>
      <c r="AB55" s="232"/>
      <c r="AC55" s="232"/>
      <c r="AD55" s="232"/>
      <c r="AE55" s="232"/>
      <c r="AF55" s="232"/>
      <c r="AG55" s="232"/>
      <c r="AH55" s="232"/>
      <c r="AI55" s="232"/>
      <c r="AJ55" s="232"/>
      <c r="AK55" s="232"/>
      <c r="AL55" s="232"/>
    </row>
    <row r="56" spans="2:38" x14ac:dyDescent="0.2">
      <c r="B56" s="234" t="s">
        <v>388</v>
      </c>
      <c r="C56" s="234"/>
      <c r="D56" s="239">
        <v>1</v>
      </c>
      <c r="E56" s="239">
        <v>2</v>
      </c>
      <c r="F56" s="239">
        <v>3</v>
      </c>
      <c r="G56" s="239">
        <v>4</v>
      </c>
      <c r="H56" s="239">
        <v>5</v>
      </c>
      <c r="I56" s="239">
        <v>6</v>
      </c>
      <c r="J56" s="239">
        <v>7</v>
      </c>
      <c r="K56" s="239">
        <v>8</v>
      </c>
      <c r="L56" s="239">
        <v>9</v>
      </c>
      <c r="M56" s="239">
        <v>10</v>
      </c>
      <c r="N56" s="239">
        <v>11</v>
      </c>
      <c r="O56" s="239">
        <v>12</v>
      </c>
      <c r="P56" s="239">
        <v>13</v>
      </c>
      <c r="Q56" s="239">
        <v>14</v>
      </c>
      <c r="R56" s="239">
        <v>15</v>
      </c>
      <c r="S56" s="239">
        <v>16</v>
      </c>
      <c r="T56" s="239">
        <v>17</v>
      </c>
      <c r="U56" s="239">
        <v>18</v>
      </c>
      <c r="V56" s="239">
        <v>19</v>
      </c>
      <c r="W56" s="239">
        <v>20</v>
      </c>
      <c r="X56" s="239">
        <v>21</v>
      </c>
      <c r="Y56" s="239">
        <v>22</v>
      </c>
      <c r="Z56" s="239">
        <v>23</v>
      </c>
      <c r="AA56" s="239">
        <v>24</v>
      </c>
      <c r="AB56" s="239">
        <v>25</v>
      </c>
      <c r="AC56" s="239">
        <v>26</v>
      </c>
      <c r="AD56" s="239">
        <v>27</v>
      </c>
      <c r="AE56" s="239">
        <v>28</v>
      </c>
      <c r="AF56" s="239">
        <v>29</v>
      </c>
      <c r="AG56" s="239">
        <v>30</v>
      </c>
      <c r="AH56" s="239">
        <v>31</v>
      </c>
      <c r="AI56" s="239">
        <v>32</v>
      </c>
      <c r="AJ56" s="239">
        <v>33</v>
      </c>
      <c r="AK56" s="239">
        <v>34</v>
      </c>
      <c r="AL56" s="239">
        <v>35</v>
      </c>
    </row>
    <row r="57" spans="2:38" x14ac:dyDescent="0.2">
      <c r="B57" s="235" t="s">
        <v>63</v>
      </c>
      <c r="C57" s="236" t="s">
        <v>9</v>
      </c>
      <c r="D57" s="241">
        <f t="shared" ref="D57:AG57" si="24">D4</f>
        <v>2025</v>
      </c>
      <c r="E57" s="241">
        <f t="shared" si="24"/>
        <v>2026</v>
      </c>
      <c r="F57" s="241">
        <f t="shared" si="24"/>
        <v>2027</v>
      </c>
      <c r="G57" s="241">
        <f t="shared" si="24"/>
        <v>2028</v>
      </c>
      <c r="H57" s="241">
        <f t="shared" si="24"/>
        <v>2029</v>
      </c>
      <c r="I57" s="241">
        <f t="shared" si="24"/>
        <v>2030</v>
      </c>
      <c r="J57" s="241">
        <f t="shared" si="24"/>
        <v>2031</v>
      </c>
      <c r="K57" s="241">
        <f t="shared" si="24"/>
        <v>2032</v>
      </c>
      <c r="L57" s="241">
        <f t="shared" si="24"/>
        <v>2033</v>
      </c>
      <c r="M57" s="241">
        <f t="shared" si="24"/>
        <v>2034</v>
      </c>
      <c r="N57" s="241">
        <f t="shared" si="24"/>
        <v>2035</v>
      </c>
      <c r="O57" s="241">
        <f t="shared" si="24"/>
        <v>2036</v>
      </c>
      <c r="P57" s="241">
        <f t="shared" si="24"/>
        <v>2037</v>
      </c>
      <c r="Q57" s="241">
        <f t="shared" si="24"/>
        <v>2038</v>
      </c>
      <c r="R57" s="241">
        <f t="shared" si="24"/>
        <v>2039</v>
      </c>
      <c r="S57" s="241">
        <f t="shared" si="24"/>
        <v>2040</v>
      </c>
      <c r="T57" s="241">
        <f t="shared" si="24"/>
        <v>2041</v>
      </c>
      <c r="U57" s="241">
        <f t="shared" si="24"/>
        <v>2042</v>
      </c>
      <c r="V57" s="241">
        <f t="shared" si="24"/>
        <v>2043</v>
      </c>
      <c r="W57" s="241">
        <f t="shared" si="24"/>
        <v>2044</v>
      </c>
      <c r="X57" s="241">
        <f t="shared" si="24"/>
        <v>2045</v>
      </c>
      <c r="Y57" s="241">
        <f t="shared" si="24"/>
        <v>2046</v>
      </c>
      <c r="Z57" s="241">
        <f t="shared" si="24"/>
        <v>2047</v>
      </c>
      <c r="AA57" s="241">
        <f t="shared" si="24"/>
        <v>2048</v>
      </c>
      <c r="AB57" s="241">
        <f t="shared" si="24"/>
        <v>2049</v>
      </c>
      <c r="AC57" s="241">
        <f t="shared" si="24"/>
        <v>2050</v>
      </c>
      <c r="AD57" s="241">
        <f t="shared" si="24"/>
        <v>2051</v>
      </c>
      <c r="AE57" s="241">
        <f t="shared" si="24"/>
        <v>2052</v>
      </c>
      <c r="AF57" s="241">
        <f t="shared" si="24"/>
        <v>2053</v>
      </c>
      <c r="AG57" s="241">
        <f t="shared" si="24"/>
        <v>2054</v>
      </c>
      <c r="AH57" s="241">
        <f t="shared" ref="AH57:AL57" si="25">AH4</f>
        <v>2055</v>
      </c>
      <c r="AI57" s="241">
        <f t="shared" si="25"/>
        <v>2056</v>
      </c>
      <c r="AJ57" s="241">
        <f t="shared" si="25"/>
        <v>2057</v>
      </c>
      <c r="AK57" s="241">
        <f t="shared" si="25"/>
        <v>2058</v>
      </c>
      <c r="AL57" s="241">
        <f t="shared" si="25"/>
        <v>2059</v>
      </c>
    </row>
    <row r="58" spans="2:38" x14ac:dyDescent="0.2">
      <c r="B58" s="232" t="s">
        <v>376</v>
      </c>
      <c r="C58" s="237">
        <f>SUM(D58:AL58)</f>
        <v>106236327.86169216</v>
      </c>
      <c r="D58" s="237">
        <f t="shared" ref="D58:AG58" si="26">D40-D49</f>
        <v>0</v>
      </c>
      <c r="E58" s="237">
        <f t="shared" si="26"/>
        <v>0</v>
      </c>
      <c r="F58" s="237">
        <f t="shared" si="26"/>
        <v>0</v>
      </c>
      <c r="G58" s="237">
        <f t="shared" si="26"/>
        <v>2304310.288544605</v>
      </c>
      <c r="H58" s="237">
        <f t="shared" si="26"/>
        <v>2304310.288544605</v>
      </c>
      <c r="I58" s="237">
        <f t="shared" si="26"/>
        <v>2304310.288544605</v>
      </c>
      <c r="J58" s="237">
        <f t="shared" si="26"/>
        <v>2304310.288544605</v>
      </c>
      <c r="K58" s="237">
        <f t="shared" si="26"/>
        <v>2304310.288544605</v>
      </c>
      <c r="L58" s="237">
        <f t="shared" si="26"/>
        <v>2304310.288544605</v>
      </c>
      <c r="M58" s="237">
        <f t="shared" si="26"/>
        <v>2304310.288544605</v>
      </c>
      <c r="N58" s="237">
        <f t="shared" si="26"/>
        <v>2304310.288544605</v>
      </c>
      <c r="O58" s="237">
        <f t="shared" si="26"/>
        <v>2304310.288544605</v>
      </c>
      <c r="P58" s="237">
        <f t="shared" si="26"/>
        <v>2304310.288544605</v>
      </c>
      <c r="Q58" s="237">
        <f t="shared" si="26"/>
        <v>2304310.288544605</v>
      </c>
      <c r="R58" s="237">
        <f t="shared" si="26"/>
        <v>2304310.288544605</v>
      </c>
      <c r="S58" s="237">
        <f t="shared" si="26"/>
        <v>2304310.288544605</v>
      </c>
      <c r="T58" s="237">
        <f t="shared" si="26"/>
        <v>2299701.667967516</v>
      </c>
      <c r="U58" s="237">
        <f t="shared" si="26"/>
        <v>2295102.264631581</v>
      </c>
      <c r="V58" s="237">
        <f t="shared" si="26"/>
        <v>2290512.0601023179</v>
      </c>
      <c r="W58" s="237">
        <f t="shared" si="26"/>
        <v>2285931.0359821133</v>
      </c>
      <c r="X58" s="237">
        <f t="shared" si="26"/>
        <v>2281359.1739101489</v>
      </c>
      <c r="Y58" s="237">
        <f t="shared" si="26"/>
        <v>2276796.4555623289</v>
      </c>
      <c r="Z58" s="237">
        <f t="shared" si="26"/>
        <v>2272242.8626512038</v>
      </c>
      <c r="AA58" s="237">
        <f t="shared" si="26"/>
        <v>2267698.3769259015</v>
      </c>
      <c r="AB58" s="237">
        <f t="shared" si="26"/>
        <v>2263162.9801720493</v>
      </c>
      <c r="AC58" s="237">
        <f t="shared" si="26"/>
        <v>2258636.6542117056</v>
      </c>
      <c r="AD58" s="237">
        <f t="shared" si="26"/>
        <v>2254119.3809032822</v>
      </c>
      <c r="AE58" s="237">
        <f t="shared" si="26"/>
        <v>2249611.1421414753</v>
      </c>
      <c r="AF58" s="237">
        <f t="shared" si="26"/>
        <v>2245111.9198571923</v>
      </c>
      <c r="AG58" s="237">
        <f t="shared" si="26"/>
        <v>2240621.6960174777</v>
      </c>
      <c r="AH58" s="237">
        <f t="shared" ref="AH58:AL58" si="27">AH40-AH49</f>
        <v>4472280.9052508865</v>
      </c>
      <c r="AI58" s="237">
        <f t="shared" si="27"/>
        <v>6695004.5151605774</v>
      </c>
      <c r="AJ58" s="237">
        <f t="shared" si="27"/>
        <v>8908819.3415070102</v>
      </c>
      <c r="AK58" s="237">
        <f t="shared" si="27"/>
        <v>11113752.128529992</v>
      </c>
      <c r="AL58" s="237">
        <f t="shared" si="27"/>
        <v>13309829.549127519</v>
      </c>
    </row>
    <row r="59" spans="2:38" x14ac:dyDescent="0.2">
      <c r="B59" s="232" t="s">
        <v>377</v>
      </c>
      <c r="C59" s="237">
        <f>SUM(D59:AL59)</f>
        <v>86920631.886838987</v>
      </c>
      <c r="D59" s="237">
        <f t="shared" ref="D59:AG59" si="28">D41-D50</f>
        <v>0</v>
      </c>
      <c r="E59" s="237">
        <f t="shared" si="28"/>
        <v>0</v>
      </c>
      <c r="F59" s="237">
        <f t="shared" si="28"/>
        <v>0</v>
      </c>
      <c r="G59" s="237">
        <f t="shared" si="28"/>
        <v>1885344.7815364946</v>
      </c>
      <c r="H59" s="237">
        <f t="shared" si="28"/>
        <v>1885344.7815364946</v>
      </c>
      <c r="I59" s="237">
        <f t="shared" si="28"/>
        <v>1885344.7815364946</v>
      </c>
      <c r="J59" s="237">
        <f t="shared" si="28"/>
        <v>1885344.7815364946</v>
      </c>
      <c r="K59" s="237">
        <f t="shared" si="28"/>
        <v>1885344.7815364946</v>
      </c>
      <c r="L59" s="237">
        <f t="shared" si="28"/>
        <v>1885344.7815364946</v>
      </c>
      <c r="M59" s="237">
        <f t="shared" si="28"/>
        <v>1885344.7815364946</v>
      </c>
      <c r="N59" s="237">
        <f t="shared" si="28"/>
        <v>1885344.7815364946</v>
      </c>
      <c r="O59" s="237">
        <f t="shared" si="28"/>
        <v>1885344.7815364946</v>
      </c>
      <c r="P59" s="237">
        <f t="shared" si="28"/>
        <v>1885344.7815364946</v>
      </c>
      <c r="Q59" s="237">
        <f t="shared" si="28"/>
        <v>1885344.7815364946</v>
      </c>
      <c r="R59" s="237">
        <f t="shared" si="28"/>
        <v>1885344.7815364946</v>
      </c>
      <c r="S59" s="237">
        <f t="shared" si="28"/>
        <v>1885344.7815364946</v>
      </c>
      <c r="T59" s="237">
        <f t="shared" si="28"/>
        <v>1881574.0919734216</v>
      </c>
      <c r="U59" s="237">
        <f t="shared" si="28"/>
        <v>1877810.9437894751</v>
      </c>
      <c r="V59" s="237">
        <f t="shared" si="28"/>
        <v>1874055.321901896</v>
      </c>
      <c r="W59" s="237">
        <f t="shared" si="28"/>
        <v>1870307.2112580927</v>
      </c>
      <c r="X59" s="237">
        <f t="shared" si="28"/>
        <v>1866566.5968355762</v>
      </c>
      <c r="Y59" s="237">
        <f t="shared" si="28"/>
        <v>1862833.463641905</v>
      </c>
      <c r="Z59" s="237">
        <f t="shared" si="28"/>
        <v>1859107.7967146209</v>
      </c>
      <c r="AA59" s="237">
        <f t="shared" si="28"/>
        <v>1855389.5811211916</v>
      </c>
      <c r="AB59" s="237">
        <f t="shared" si="28"/>
        <v>1851678.8019589493</v>
      </c>
      <c r="AC59" s="237">
        <f t="shared" si="28"/>
        <v>1847975.4443550317</v>
      </c>
      <c r="AD59" s="237">
        <f t="shared" si="28"/>
        <v>1844279.4934663214</v>
      </c>
      <c r="AE59" s="237">
        <f t="shared" si="28"/>
        <v>1840590.9344793886</v>
      </c>
      <c r="AF59" s="237">
        <f t="shared" si="28"/>
        <v>1836909.7526104297</v>
      </c>
      <c r="AG59" s="237">
        <f t="shared" si="28"/>
        <v>1833235.9331052089</v>
      </c>
      <c r="AH59" s="237">
        <f t="shared" ref="AH59:AL59" si="29">AH41-AH50</f>
        <v>3659138.9224779974</v>
      </c>
      <c r="AI59" s="237">
        <f t="shared" si="29"/>
        <v>5477730.9669495616</v>
      </c>
      <c r="AJ59" s="237">
        <f t="shared" si="29"/>
        <v>7289034.0066875517</v>
      </c>
      <c r="AK59" s="237">
        <f t="shared" si="29"/>
        <v>9093069.9233427197</v>
      </c>
      <c r="AL59" s="237">
        <f t="shared" si="29"/>
        <v>10889860.540195242</v>
      </c>
    </row>
    <row r="60" spans="2:38" x14ac:dyDescent="0.2">
      <c r="B60" s="232" t="s">
        <v>378</v>
      </c>
      <c r="C60" s="237">
        <f>SUM(D60:AL60)</f>
        <v>2603615.6528382124</v>
      </c>
      <c r="D60" s="237">
        <f t="shared" ref="D60:AG60" si="30">D42-D51</f>
        <v>0</v>
      </c>
      <c r="E60" s="237">
        <f t="shared" si="30"/>
        <v>0</v>
      </c>
      <c r="F60" s="237">
        <f t="shared" si="30"/>
        <v>0</v>
      </c>
      <c r="G60" s="237">
        <f t="shared" si="30"/>
        <v>56473.510116629797</v>
      </c>
      <c r="H60" s="237">
        <f t="shared" si="30"/>
        <v>56473.510116629797</v>
      </c>
      <c r="I60" s="237">
        <f t="shared" si="30"/>
        <v>56473.510116629797</v>
      </c>
      <c r="J60" s="237">
        <f t="shared" si="30"/>
        <v>56473.510116629797</v>
      </c>
      <c r="K60" s="237">
        <f t="shared" si="30"/>
        <v>56473.510116629797</v>
      </c>
      <c r="L60" s="237">
        <f t="shared" si="30"/>
        <v>56473.510116629797</v>
      </c>
      <c r="M60" s="237">
        <f t="shared" si="30"/>
        <v>56473.510116629797</v>
      </c>
      <c r="N60" s="237">
        <f t="shared" si="30"/>
        <v>56473.510116629797</v>
      </c>
      <c r="O60" s="237">
        <f t="shared" si="30"/>
        <v>56473.510116629797</v>
      </c>
      <c r="P60" s="237">
        <f t="shared" si="30"/>
        <v>56473.510116629797</v>
      </c>
      <c r="Q60" s="237">
        <f t="shared" si="30"/>
        <v>56473.510116629797</v>
      </c>
      <c r="R60" s="237">
        <f t="shared" si="30"/>
        <v>56473.510116629797</v>
      </c>
      <c r="S60" s="237">
        <f t="shared" si="30"/>
        <v>56473.510116629797</v>
      </c>
      <c r="T60" s="237">
        <f t="shared" si="30"/>
        <v>56360.563096396538</v>
      </c>
      <c r="U60" s="237">
        <f t="shared" si="30"/>
        <v>56247.84197020375</v>
      </c>
      <c r="V60" s="237">
        <f t="shared" si="30"/>
        <v>56135.346286263339</v>
      </c>
      <c r="W60" s="237">
        <f t="shared" si="30"/>
        <v>56023.075593690824</v>
      </c>
      <c r="X60" s="237">
        <f t="shared" si="30"/>
        <v>55911.029442503437</v>
      </c>
      <c r="Y60" s="237">
        <f t="shared" si="30"/>
        <v>55799.207383618428</v>
      </c>
      <c r="Z60" s="237">
        <f t="shared" si="30"/>
        <v>55687.608968851186</v>
      </c>
      <c r="AA60" s="237">
        <f t="shared" si="30"/>
        <v>55576.233750913481</v>
      </c>
      <c r="AB60" s="237">
        <f t="shared" si="30"/>
        <v>55465.081283411651</v>
      </c>
      <c r="AC60" s="237">
        <f t="shared" si="30"/>
        <v>55354.151120844836</v>
      </c>
      <c r="AD60" s="237">
        <f t="shared" si="30"/>
        <v>55243.442818603136</v>
      </c>
      <c r="AE60" s="237">
        <f t="shared" si="30"/>
        <v>55132.955932965931</v>
      </c>
      <c r="AF60" s="237">
        <f t="shared" si="30"/>
        <v>55022.690021099996</v>
      </c>
      <c r="AG60" s="237">
        <f t="shared" si="30"/>
        <v>54912.644641057792</v>
      </c>
      <c r="AH60" s="237">
        <f t="shared" ref="AH60:AL60" si="31">AH42-AH51</f>
        <v>109605.63870355138</v>
      </c>
      <c r="AI60" s="237">
        <f t="shared" si="31"/>
        <v>164079.64113921643</v>
      </c>
      <c r="AJ60" s="237">
        <f t="shared" si="31"/>
        <v>218335.30914258401</v>
      </c>
      <c r="AK60" s="237">
        <f t="shared" si="31"/>
        <v>272373.29815537349</v>
      </c>
      <c r="AL60" s="237">
        <f t="shared" si="31"/>
        <v>326194.26187087531</v>
      </c>
    </row>
    <row r="61" spans="2:38" x14ac:dyDescent="0.2">
      <c r="B61" s="232" t="s">
        <v>137</v>
      </c>
      <c r="C61" s="237">
        <f>SUM(D61:AL61)</f>
        <v>0</v>
      </c>
      <c r="D61" s="237">
        <f t="shared" ref="D61:AG61" si="32">D43-D52</f>
        <v>0</v>
      </c>
      <c r="E61" s="237">
        <f t="shared" si="32"/>
        <v>0</v>
      </c>
      <c r="F61" s="237">
        <f t="shared" si="32"/>
        <v>0</v>
      </c>
      <c r="G61" s="237">
        <f t="shared" si="32"/>
        <v>0</v>
      </c>
      <c r="H61" s="237">
        <f t="shared" si="32"/>
        <v>0</v>
      </c>
      <c r="I61" s="237">
        <f t="shared" si="32"/>
        <v>0</v>
      </c>
      <c r="J61" s="237">
        <f t="shared" si="32"/>
        <v>0</v>
      </c>
      <c r="K61" s="237">
        <f t="shared" si="32"/>
        <v>0</v>
      </c>
      <c r="L61" s="237">
        <f t="shared" si="32"/>
        <v>0</v>
      </c>
      <c r="M61" s="237">
        <f t="shared" si="32"/>
        <v>0</v>
      </c>
      <c r="N61" s="237">
        <f t="shared" si="32"/>
        <v>0</v>
      </c>
      <c r="O61" s="237">
        <f t="shared" si="32"/>
        <v>0</v>
      </c>
      <c r="P61" s="237">
        <f t="shared" si="32"/>
        <v>0</v>
      </c>
      <c r="Q61" s="237">
        <f t="shared" si="32"/>
        <v>0</v>
      </c>
      <c r="R61" s="237">
        <f t="shared" si="32"/>
        <v>0</v>
      </c>
      <c r="S61" s="237">
        <f t="shared" si="32"/>
        <v>0</v>
      </c>
      <c r="T61" s="237">
        <f t="shared" si="32"/>
        <v>0</v>
      </c>
      <c r="U61" s="237">
        <f t="shared" si="32"/>
        <v>0</v>
      </c>
      <c r="V61" s="237">
        <f t="shared" si="32"/>
        <v>0</v>
      </c>
      <c r="W61" s="237">
        <f t="shared" si="32"/>
        <v>0</v>
      </c>
      <c r="X61" s="237">
        <f t="shared" si="32"/>
        <v>0</v>
      </c>
      <c r="Y61" s="237">
        <f t="shared" si="32"/>
        <v>0</v>
      </c>
      <c r="Z61" s="237">
        <f t="shared" si="32"/>
        <v>0</v>
      </c>
      <c r="AA61" s="237">
        <f t="shared" si="32"/>
        <v>0</v>
      </c>
      <c r="AB61" s="237">
        <f t="shared" si="32"/>
        <v>0</v>
      </c>
      <c r="AC61" s="237">
        <f t="shared" si="32"/>
        <v>0</v>
      </c>
      <c r="AD61" s="237">
        <f t="shared" si="32"/>
        <v>0</v>
      </c>
      <c r="AE61" s="237">
        <f t="shared" si="32"/>
        <v>0</v>
      </c>
      <c r="AF61" s="237">
        <f t="shared" si="32"/>
        <v>0</v>
      </c>
      <c r="AG61" s="237">
        <f t="shared" si="32"/>
        <v>0</v>
      </c>
      <c r="AH61" s="237">
        <f t="shared" ref="AH61:AL61" si="33">AH43-AH52</f>
        <v>0</v>
      </c>
      <c r="AI61" s="237">
        <f t="shared" si="33"/>
        <v>0</v>
      </c>
      <c r="AJ61" s="237">
        <f t="shared" si="33"/>
        <v>0</v>
      </c>
      <c r="AK61" s="237">
        <f t="shared" si="33"/>
        <v>0</v>
      </c>
      <c r="AL61" s="237">
        <f t="shared" si="33"/>
        <v>0</v>
      </c>
    </row>
    <row r="62" spans="2:38" x14ac:dyDescent="0.2">
      <c r="C62" s="247"/>
      <c r="D62" s="247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  <c r="R62" s="247"/>
      <c r="S62" s="247"/>
      <c r="T62" s="247"/>
      <c r="U62" s="247"/>
      <c r="V62" s="247"/>
      <c r="W62" s="247"/>
      <c r="X62" s="247"/>
      <c r="Y62" s="247"/>
      <c r="Z62" s="247"/>
      <c r="AA62" s="247"/>
      <c r="AB62" s="247"/>
      <c r="AC62" s="247"/>
      <c r="AD62" s="247"/>
      <c r="AE62" s="247"/>
      <c r="AF62" s="247"/>
      <c r="AG62" s="247"/>
      <c r="AH62" s="247"/>
      <c r="AI62" s="247"/>
      <c r="AJ62" s="247"/>
      <c r="AK62" s="247"/>
      <c r="AL62" s="247"/>
    </row>
    <row r="64" spans="2:38" ht="22.5" x14ac:dyDescent="0.2">
      <c r="B64" s="258" t="s">
        <v>389</v>
      </c>
      <c r="C64" s="253" t="s">
        <v>9</v>
      </c>
    </row>
    <row r="65" spans="2:38" x14ac:dyDescent="0.2">
      <c r="B65" s="248" t="s">
        <v>376</v>
      </c>
      <c r="C65" s="237">
        <f>SUM(D65:AL65)</f>
        <v>5842998.0323930662</v>
      </c>
      <c r="D65" s="237">
        <f>D58*Parametre!$C$187</f>
        <v>0</v>
      </c>
      <c r="E65" s="237">
        <f>E58*Parametre!$C$187</f>
        <v>0</v>
      </c>
      <c r="F65" s="237">
        <f>F58*Parametre!$C$187</f>
        <v>0</v>
      </c>
      <c r="G65" s="237">
        <f>G58*Parametre!$C$187</f>
        <v>126737.06586995328</v>
      </c>
      <c r="H65" s="237">
        <f>H58*Parametre!$C$187</f>
        <v>126737.06586995328</v>
      </c>
      <c r="I65" s="237">
        <f>I58*Parametre!$C$187</f>
        <v>126737.06586995328</v>
      </c>
      <c r="J65" s="237">
        <f>J58*Parametre!$C$187</f>
        <v>126737.06586995328</v>
      </c>
      <c r="K65" s="237">
        <f>K58*Parametre!$C$187</f>
        <v>126737.06586995328</v>
      </c>
      <c r="L65" s="237">
        <f>L58*Parametre!$C$187</f>
        <v>126737.06586995328</v>
      </c>
      <c r="M65" s="237">
        <f>M58*Parametre!$C$187</f>
        <v>126737.06586995328</v>
      </c>
      <c r="N65" s="237">
        <f>N58*Parametre!$C$187</f>
        <v>126737.06586995328</v>
      </c>
      <c r="O65" s="237">
        <f>O58*Parametre!$C$187</f>
        <v>126737.06586995328</v>
      </c>
      <c r="P65" s="237">
        <f>P58*Parametre!$C$187</f>
        <v>126737.06586995328</v>
      </c>
      <c r="Q65" s="237">
        <f>Q58*Parametre!$C$187</f>
        <v>126737.06586995328</v>
      </c>
      <c r="R65" s="237">
        <f>R58*Parametre!$C$187</f>
        <v>126737.06586995328</v>
      </c>
      <c r="S65" s="237">
        <f>S58*Parametre!$C$187</f>
        <v>126737.06586995328</v>
      </c>
      <c r="T65" s="237">
        <f>T58*Parametre!$C$187</f>
        <v>126483.59173821338</v>
      </c>
      <c r="U65" s="237">
        <f>U58*Parametre!$C$187</f>
        <v>126230.62455473696</v>
      </c>
      <c r="V65" s="237">
        <f>V58*Parametre!$C$187</f>
        <v>125978.16330562749</v>
      </c>
      <c r="W65" s="237">
        <f>W58*Parametre!$C$187</f>
        <v>125726.20697901623</v>
      </c>
      <c r="X65" s="237">
        <f>X58*Parametre!$C$187</f>
        <v>125474.75456505819</v>
      </c>
      <c r="Y65" s="237">
        <f>Y58*Parametre!$C$187</f>
        <v>125223.8050559281</v>
      </c>
      <c r="Z65" s="237">
        <f>Z58*Parametre!$C$187</f>
        <v>124973.3574458162</v>
      </c>
      <c r="AA65" s="237">
        <f>AA58*Parametre!$C$187</f>
        <v>124723.41073092459</v>
      </c>
      <c r="AB65" s="237">
        <f>AB58*Parametre!$C$187</f>
        <v>124473.96390946271</v>
      </c>
      <c r="AC65" s="237">
        <f>AC58*Parametre!$C$187</f>
        <v>124225.01598164381</v>
      </c>
      <c r="AD65" s="237">
        <f>AD58*Parametre!$C$187</f>
        <v>123976.56594968052</v>
      </c>
      <c r="AE65" s="237">
        <f>AE58*Parametre!$C$187</f>
        <v>123728.61281778115</v>
      </c>
      <c r="AF65" s="237">
        <f>AF58*Parametre!$C$187</f>
        <v>123481.15559214557</v>
      </c>
      <c r="AG65" s="237">
        <f>AG58*Parametre!$C$187</f>
        <v>123234.19328096128</v>
      </c>
      <c r="AH65" s="237">
        <f>AH58*Parametre!$C$187</f>
        <v>245975.44978879875</v>
      </c>
      <c r="AI65" s="237">
        <f>AI58*Parametre!$C$187</f>
        <v>368225.24833383178</v>
      </c>
      <c r="AJ65" s="237">
        <f>AJ58*Parametre!$C$187</f>
        <v>489985.06378288555</v>
      </c>
      <c r="AK65" s="237">
        <f>AK58*Parametre!$C$187</f>
        <v>611256.36706914951</v>
      </c>
      <c r="AL65" s="237">
        <f>AL58*Parametre!$C$187</f>
        <v>732040.62520201353</v>
      </c>
    </row>
    <row r="66" spans="2:38" x14ac:dyDescent="0.2">
      <c r="B66" s="248" t="s">
        <v>377</v>
      </c>
      <c r="C66" s="237">
        <f>SUM(D66:AL66)</f>
        <v>3911428.4349077563</v>
      </c>
      <c r="D66" s="237">
        <f>D59*Parametre!$C$188</f>
        <v>0</v>
      </c>
      <c r="E66" s="237">
        <f>E59*Parametre!$C$188</f>
        <v>0</v>
      </c>
      <c r="F66" s="237">
        <f>F59*Parametre!$C$188</f>
        <v>0</v>
      </c>
      <c r="G66" s="237">
        <f>G59*Parametre!$C$188</f>
        <v>84840.515169142251</v>
      </c>
      <c r="H66" s="237">
        <f>H59*Parametre!$C$188</f>
        <v>84840.515169142251</v>
      </c>
      <c r="I66" s="237">
        <f>I59*Parametre!$C$188</f>
        <v>84840.515169142251</v>
      </c>
      <c r="J66" s="237">
        <f>J59*Parametre!$C$188</f>
        <v>84840.515169142251</v>
      </c>
      <c r="K66" s="237">
        <f>K59*Parametre!$C$188</f>
        <v>84840.515169142251</v>
      </c>
      <c r="L66" s="237">
        <f>L59*Parametre!$C$188</f>
        <v>84840.515169142251</v>
      </c>
      <c r="M66" s="237">
        <f>M59*Parametre!$C$188</f>
        <v>84840.515169142251</v>
      </c>
      <c r="N66" s="237">
        <f>N59*Parametre!$C$188</f>
        <v>84840.515169142251</v>
      </c>
      <c r="O66" s="237">
        <f>O59*Parametre!$C$188</f>
        <v>84840.515169142251</v>
      </c>
      <c r="P66" s="237">
        <f>P59*Parametre!$C$188</f>
        <v>84840.515169142251</v>
      </c>
      <c r="Q66" s="237">
        <f>Q59*Parametre!$C$188</f>
        <v>84840.515169142251</v>
      </c>
      <c r="R66" s="237">
        <f>R59*Parametre!$C$188</f>
        <v>84840.515169142251</v>
      </c>
      <c r="S66" s="237">
        <f>S59*Parametre!$C$188</f>
        <v>84840.515169142251</v>
      </c>
      <c r="T66" s="237">
        <f>T59*Parametre!$C$188</f>
        <v>84670.83413880397</v>
      </c>
      <c r="U66" s="237">
        <f>U59*Parametre!$C$188</f>
        <v>84501.492470526384</v>
      </c>
      <c r="V66" s="237">
        <f>V59*Parametre!$C$188</f>
        <v>84332.48948558532</v>
      </c>
      <c r="W66" s="237">
        <f>W59*Parametre!$C$188</f>
        <v>84163.824506614168</v>
      </c>
      <c r="X66" s="237">
        <f>X59*Parametre!$C$188</f>
        <v>83995.496857600927</v>
      </c>
      <c r="Y66" s="237">
        <f>Y59*Parametre!$C$188</f>
        <v>83827.505863885715</v>
      </c>
      <c r="Z66" s="237">
        <f>Z59*Parametre!$C$188</f>
        <v>83659.850852157935</v>
      </c>
      <c r="AA66" s="237">
        <f>AA59*Parametre!$C$188</f>
        <v>83492.531150453622</v>
      </c>
      <c r="AB66" s="237">
        <f>AB59*Parametre!$C$188</f>
        <v>83325.546088152711</v>
      </c>
      <c r="AC66" s="237">
        <f>AC59*Parametre!$C$188</f>
        <v>83158.894995976429</v>
      </c>
      <c r="AD66" s="237">
        <f>AD59*Parametre!$C$188</f>
        <v>82992.57720598446</v>
      </c>
      <c r="AE66" s="237">
        <f>AE59*Parametre!$C$188</f>
        <v>82826.592051572487</v>
      </c>
      <c r="AF66" s="237">
        <f>AF59*Parametre!$C$188</f>
        <v>82660.938867469333</v>
      </c>
      <c r="AG66" s="237">
        <f>AG59*Parametre!$C$188</f>
        <v>82495.616989734393</v>
      </c>
      <c r="AH66" s="237">
        <f>AH59*Parametre!$C$188</f>
        <v>164661.25151150988</v>
      </c>
      <c r="AI66" s="237">
        <f>AI59*Parametre!$C$188</f>
        <v>246497.89351273025</v>
      </c>
      <c r="AJ66" s="237">
        <f>AJ59*Parametre!$C$188</f>
        <v>328006.5303009398</v>
      </c>
      <c r="AK66" s="237">
        <f>AK59*Parametre!$C$188</f>
        <v>409188.14655042236</v>
      </c>
      <c r="AL66" s="237">
        <f>AL59*Parametre!$C$188</f>
        <v>490043.72430878587</v>
      </c>
    </row>
    <row r="67" spans="2:38" x14ac:dyDescent="0.2">
      <c r="B67" s="232" t="s">
        <v>378</v>
      </c>
      <c r="C67" s="237">
        <f>SUM(D67:AL67)</f>
        <v>109351.85741920493</v>
      </c>
      <c r="D67" s="237">
        <f>D60*Parametre!$C$189</f>
        <v>0</v>
      </c>
      <c r="E67" s="237">
        <f>E60*Parametre!$C$189</f>
        <v>0</v>
      </c>
      <c r="F67" s="237">
        <f>F60*Parametre!$C$189</f>
        <v>0</v>
      </c>
      <c r="G67" s="237">
        <f>G60*Parametre!$C$189</f>
        <v>2371.8874248984516</v>
      </c>
      <c r="H67" s="237">
        <f>H60*Parametre!$C$189</f>
        <v>2371.8874248984516</v>
      </c>
      <c r="I67" s="237">
        <f>I60*Parametre!$C$189</f>
        <v>2371.8874248984516</v>
      </c>
      <c r="J67" s="237">
        <f>J60*Parametre!$C$189</f>
        <v>2371.8874248984516</v>
      </c>
      <c r="K67" s="237">
        <f>K60*Parametre!$C$189</f>
        <v>2371.8874248984516</v>
      </c>
      <c r="L67" s="237">
        <f>L60*Parametre!$C$189</f>
        <v>2371.8874248984516</v>
      </c>
      <c r="M67" s="237">
        <f>M60*Parametre!$C$189</f>
        <v>2371.8874248984516</v>
      </c>
      <c r="N67" s="237">
        <f>N60*Parametre!$C$189</f>
        <v>2371.8874248984516</v>
      </c>
      <c r="O67" s="237">
        <f>O60*Parametre!$C$189</f>
        <v>2371.8874248984516</v>
      </c>
      <c r="P67" s="237">
        <f>P60*Parametre!$C$189</f>
        <v>2371.8874248984516</v>
      </c>
      <c r="Q67" s="237">
        <f>Q60*Parametre!$C$189</f>
        <v>2371.8874248984516</v>
      </c>
      <c r="R67" s="237">
        <f>R60*Parametre!$C$189</f>
        <v>2371.8874248984516</v>
      </c>
      <c r="S67" s="237">
        <f>S60*Parametre!$C$189</f>
        <v>2371.8874248984516</v>
      </c>
      <c r="T67" s="237">
        <f>T60*Parametre!$C$189</f>
        <v>2367.1436500486548</v>
      </c>
      <c r="U67" s="237">
        <f>U60*Parametre!$C$189</f>
        <v>2362.4093627485577</v>
      </c>
      <c r="V67" s="237">
        <f>V60*Parametre!$C$189</f>
        <v>2357.6845440230604</v>
      </c>
      <c r="W67" s="237">
        <f>W60*Parametre!$C$189</f>
        <v>2352.969174935015</v>
      </c>
      <c r="X67" s="237">
        <f>X60*Parametre!$C$189</f>
        <v>2348.2632365851446</v>
      </c>
      <c r="Y67" s="237">
        <f>Y60*Parametre!$C$189</f>
        <v>2343.5667101119743</v>
      </c>
      <c r="Z67" s="237">
        <f>Z60*Parametre!$C$189</f>
        <v>2338.8795766917501</v>
      </c>
      <c r="AA67" s="237">
        <f>AA60*Parametre!$C$189</f>
        <v>2334.2018175383664</v>
      </c>
      <c r="AB67" s="237">
        <f>AB60*Parametre!$C$189</f>
        <v>2329.5334139032893</v>
      </c>
      <c r="AC67" s="237">
        <f>AC60*Parametre!$C$189</f>
        <v>2324.8743470754835</v>
      </c>
      <c r="AD67" s="237">
        <f>AD60*Parametre!$C$189</f>
        <v>2320.2245983813318</v>
      </c>
      <c r="AE67" s="237">
        <f>AE60*Parametre!$C$189</f>
        <v>2315.5841491845695</v>
      </c>
      <c r="AF67" s="237">
        <f>AF60*Parametre!$C$189</f>
        <v>2310.9529808861998</v>
      </c>
      <c r="AG67" s="237">
        <f>AG60*Parametre!$C$189</f>
        <v>2306.3310749244274</v>
      </c>
      <c r="AH67" s="237">
        <f>AH60*Parametre!$C$189</f>
        <v>4603.4368255491581</v>
      </c>
      <c r="AI67" s="237">
        <f>AI60*Parametre!$C$189</f>
        <v>6891.3449278470907</v>
      </c>
      <c r="AJ67" s="237">
        <f>AJ60*Parametre!$C$189</f>
        <v>9170.0829839885282</v>
      </c>
      <c r="AK67" s="237">
        <f>AK60*Parametre!$C$189</f>
        <v>11439.678522525686</v>
      </c>
      <c r="AL67" s="237">
        <f>AL60*Parametre!$C$189</f>
        <v>13700.158998576764</v>
      </c>
    </row>
    <row r="68" spans="2:38" x14ac:dyDescent="0.2">
      <c r="B68" s="248" t="s">
        <v>137</v>
      </c>
      <c r="C68" s="237">
        <f>SUM(D68:AL68)</f>
        <v>0</v>
      </c>
      <c r="D68" s="237">
        <f>D61*Parametre!$C$190</f>
        <v>0</v>
      </c>
      <c r="E68" s="237">
        <f>E61*Parametre!$C$190</f>
        <v>0</v>
      </c>
      <c r="F68" s="237">
        <f>F61*Parametre!$C$190</f>
        <v>0</v>
      </c>
      <c r="G68" s="237">
        <f>G61*Parametre!$C$190</f>
        <v>0</v>
      </c>
      <c r="H68" s="237">
        <f>H61*Parametre!$C$190</f>
        <v>0</v>
      </c>
      <c r="I68" s="237">
        <f>I61*Parametre!$C$190</f>
        <v>0</v>
      </c>
      <c r="J68" s="237">
        <f>J61*Parametre!$C$190</f>
        <v>0</v>
      </c>
      <c r="K68" s="237">
        <f>K61*Parametre!$C$190</f>
        <v>0</v>
      </c>
      <c r="L68" s="237">
        <f>L61*Parametre!$C$190</f>
        <v>0</v>
      </c>
      <c r="M68" s="237">
        <f>M61*Parametre!$C$190</f>
        <v>0</v>
      </c>
      <c r="N68" s="237">
        <f>N61*Parametre!$C$190</f>
        <v>0</v>
      </c>
      <c r="O68" s="237">
        <f>O61*Parametre!$C$190</f>
        <v>0</v>
      </c>
      <c r="P68" s="237">
        <f>P61*Parametre!$C$190</f>
        <v>0</v>
      </c>
      <c r="Q68" s="237">
        <f>Q61*Parametre!$C$190</f>
        <v>0</v>
      </c>
      <c r="R68" s="237">
        <f>R61*Parametre!$C$190</f>
        <v>0</v>
      </c>
      <c r="S68" s="237">
        <f>S61*Parametre!$C$190</f>
        <v>0</v>
      </c>
      <c r="T68" s="237">
        <f>T61*Parametre!$C$190</f>
        <v>0</v>
      </c>
      <c r="U68" s="237">
        <f>U61*Parametre!$C$190</f>
        <v>0</v>
      </c>
      <c r="V68" s="237">
        <f>V61*Parametre!$C$190</f>
        <v>0</v>
      </c>
      <c r="W68" s="237">
        <f>W61*Parametre!$C$190</f>
        <v>0</v>
      </c>
      <c r="X68" s="237">
        <f>X61*Parametre!$C$190</f>
        <v>0</v>
      </c>
      <c r="Y68" s="237">
        <f>Y61*Parametre!$C$190</f>
        <v>0</v>
      </c>
      <c r="Z68" s="237">
        <f>Z61*Parametre!$C$190</f>
        <v>0</v>
      </c>
      <c r="AA68" s="237">
        <f>AA61*Parametre!$C$190</f>
        <v>0</v>
      </c>
      <c r="AB68" s="237">
        <f>AB61*Parametre!$C$190</f>
        <v>0</v>
      </c>
      <c r="AC68" s="237">
        <f>AC61*Parametre!$C$190</f>
        <v>0</v>
      </c>
      <c r="AD68" s="237">
        <f>AD61*Parametre!$C$190</f>
        <v>0</v>
      </c>
      <c r="AE68" s="237">
        <f>AE61*Parametre!$C$190</f>
        <v>0</v>
      </c>
      <c r="AF68" s="237">
        <f>AF61*Parametre!$C$190</f>
        <v>0</v>
      </c>
      <c r="AG68" s="237">
        <f>AG61*Parametre!$C$190</f>
        <v>0</v>
      </c>
      <c r="AH68" s="237">
        <f>AH61*Parametre!$C$190</f>
        <v>0</v>
      </c>
      <c r="AI68" s="237">
        <f>AI61*Parametre!$C$190</f>
        <v>0</v>
      </c>
      <c r="AJ68" s="237">
        <f>AJ61*Parametre!$C$190</f>
        <v>0</v>
      </c>
      <c r="AK68" s="237">
        <f>AK61*Parametre!$C$190</f>
        <v>0</v>
      </c>
      <c r="AL68" s="237">
        <f>AL61*Parametre!$C$190</f>
        <v>0</v>
      </c>
    </row>
    <row r="69" spans="2:38" x14ac:dyDescent="0.2">
      <c r="B69" s="250" t="s">
        <v>9</v>
      </c>
      <c r="C69" s="251">
        <f>SUM(D69:AL69)</f>
        <v>9863778.3247200288</v>
      </c>
      <c r="D69" s="252">
        <f t="shared" ref="D69:AG69" si="34">SUM(D65:D68)</f>
        <v>0</v>
      </c>
      <c r="E69" s="251">
        <f t="shared" si="34"/>
        <v>0</v>
      </c>
      <c r="F69" s="251">
        <f t="shared" si="34"/>
        <v>0</v>
      </c>
      <c r="G69" s="251">
        <f t="shared" si="34"/>
        <v>213949.46846399398</v>
      </c>
      <c r="H69" s="251">
        <f t="shared" si="34"/>
        <v>213949.46846399398</v>
      </c>
      <c r="I69" s="251">
        <f t="shared" si="34"/>
        <v>213949.46846399398</v>
      </c>
      <c r="J69" s="251">
        <f t="shared" si="34"/>
        <v>213949.46846399398</v>
      </c>
      <c r="K69" s="251">
        <f t="shared" si="34"/>
        <v>213949.46846399398</v>
      </c>
      <c r="L69" s="251">
        <f t="shared" si="34"/>
        <v>213949.46846399398</v>
      </c>
      <c r="M69" s="251">
        <f t="shared" si="34"/>
        <v>213949.46846399398</v>
      </c>
      <c r="N69" s="251">
        <f t="shared" si="34"/>
        <v>213949.46846399398</v>
      </c>
      <c r="O69" s="251">
        <f t="shared" si="34"/>
        <v>213949.46846399398</v>
      </c>
      <c r="P69" s="251">
        <f t="shared" si="34"/>
        <v>213949.46846399398</v>
      </c>
      <c r="Q69" s="251">
        <f t="shared" si="34"/>
        <v>213949.46846399398</v>
      </c>
      <c r="R69" s="251">
        <f t="shared" si="34"/>
        <v>213949.46846399398</v>
      </c>
      <c r="S69" s="251">
        <f t="shared" si="34"/>
        <v>213949.46846399398</v>
      </c>
      <c r="T69" s="251">
        <f t="shared" si="34"/>
        <v>213521.56952706599</v>
      </c>
      <c r="U69" s="251">
        <f t="shared" si="34"/>
        <v>213094.5263880119</v>
      </c>
      <c r="V69" s="251">
        <f t="shared" si="34"/>
        <v>212668.33733523588</v>
      </c>
      <c r="W69" s="251">
        <f t="shared" si="34"/>
        <v>212243.00066056542</v>
      </c>
      <c r="X69" s="251">
        <f t="shared" si="34"/>
        <v>211818.51465924425</v>
      </c>
      <c r="Y69" s="251">
        <f t="shared" si="34"/>
        <v>211394.87762992579</v>
      </c>
      <c r="Z69" s="251">
        <f t="shared" si="34"/>
        <v>210972.08787466589</v>
      </c>
      <c r="AA69" s="251">
        <f t="shared" si="34"/>
        <v>210550.14369891657</v>
      </c>
      <c r="AB69" s="251">
        <f t="shared" si="34"/>
        <v>210129.04341151871</v>
      </c>
      <c r="AC69" s="251">
        <f t="shared" si="34"/>
        <v>209708.78532469569</v>
      </c>
      <c r="AD69" s="251">
        <f t="shared" si="34"/>
        <v>209289.36775404628</v>
      </c>
      <c r="AE69" s="251">
        <f t="shared" si="34"/>
        <v>208870.7890185382</v>
      </c>
      <c r="AF69" s="251">
        <f t="shared" si="34"/>
        <v>208453.0474405011</v>
      </c>
      <c r="AG69" s="251">
        <f t="shared" si="34"/>
        <v>208036.1413456201</v>
      </c>
      <c r="AH69" s="251">
        <f t="shared" ref="AH69:AL69" si="35">SUM(AH65:AH68)</f>
        <v>415240.1381258578</v>
      </c>
      <c r="AI69" s="251">
        <f t="shared" si="35"/>
        <v>621614.48677440907</v>
      </c>
      <c r="AJ69" s="251">
        <f t="shared" si="35"/>
        <v>827161.67706781393</v>
      </c>
      <c r="AK69" s="251">
        <f t="shared" si="35"/>
        <v>1031884.1921420976</v>
      </c>
      <c r="AL69" s="251">
        <f t="shared" si="35"/>
        <v>1235784.5085093761</v>
      </c>
    </row>
    <row r="72" spans="2:38" ht="33.75" x14ac:dyDescent="0.2">
      <c r="B72" s="258" t="s">
        <v>390</v>
      </c>
      <c r="C72" s="253" t="s">
        <v>9</v>
      </c>
    </row>
    <row r="73" spans="2:38" x14ac:dyDescent="0.2">
      <c r="B73" s="254" t="s">
        <v>9</v>
      </c>
      <c r="C73" s="255">
        <f>SUM(D73:AL73)</f>
        <v>17484977.760769546</v>
      </c>
      <c r="D73" s="256">
        <f t="shared" ref="D73:AG73" si="36">D69+D34</f>
        <v>0</v>
      </c>
      <c r="E73" s="256">
        <f t="shared" si="36"/>
        <v>0</v>
      </c>
      <c r="F73" s="256">
        <f t="shared" si="36"/>
        <v>0</v>
      </c>
      <c r="G73" s="256">
        <f t="shared" si="36"/>
        <v>379256.46490312641</v>
      </c>
      <c r="H73" s="256">
        <f t="shared" si="36"/>
        <v>379256.46490312641</v>
      </c>
      <c r="I73" s="256">
        <f t="shared" si="36"/>
        <v>379256.46490312641</v>
      </c>
      <c r="J73" s="256">
        <f t="shared" si="36"/>
        <v>379256.46490312641</v>
      </c>
      <c r="K73" s="256">
        <f t="shared" si="36"/>
        <v>379256.46490312641</v>
      </c>
      <c r="L73" s="256">
        <f t="shared" si="36"/>
        <v>379256.46490312641</v>
      </c>
      <c r="M73" s="256">
        <f t="shared" si="36"/>
        <v>379256.46490312641</v>
      </c>
      <c r="N73" s="256">
        <f t="shared" si="36"/>
        <v>379256.46490312641</v>
      </c>
      <c r="O73" s="256">
        <f t="shared" si="36"/>
        <v>379256.46490312641</v>
      </c>
      <c r="P73" s="256">
        <f t="shared" si="36"/>
        <v>379256.46490312641</v>
      </c>
      <c r="Q73" s="256">
        <f t="shared" si="36"/>
        <v>379256.46490312641</v>
      </c>
      <c r="R73" s="256">
        <f t="shared" si="36"/>
        <v>379256.46490312641</v>
      </c>
      <c r="S73" s="256">
        <f t="shared" si="36"/>
        <v>379256.46490312641</v>
      </c>
      <c r="T73" s="256">
        <f t="shared" si="36"/>
        <v>378497.95197332016</v>
      </c>
      <c r="U73" s="256">
        <f t="shared" si="36"/>
        <v>377740.95606937358</v>
      </c>
      <c r="V73" s="256">
        <f t="shared" si="36"/>
        <v>376985.47415723477</v>
      </c>
      <c r="W73" s="256">
        <f t="shared" si="36"/>
        <v>376231.50320892036</v>
      </c>
      <c r="X73" s="256">
        <f t="shared" si="36"/>
        <v>375479.04020250245</v>
      </c>
      <c r="Y73" s="256">
        <f t="shared" si="36"/>
        <v>374728.08212209749</v>
      </c>
      <c r="Z73" s="256">
        <f t="shared" si="36"/>
        <v>373978.62595785328</v>
      </c>
      <c r="AA73" s="256">
        <f t="shared" si="36"/>
        <v>373230.66870593757</v>
      </c>
      <c r="AB73" s="256">
        <f t="shared" si="36"/>
        <v>372484.20736852562</v>
      </c>
      <c r="AC73" s="256">
        <f t="shared" si="36"/>
        <v>371739.23895378865</v>
      </c>
      <c r="AD73" s="256">
        <f t="shared" si="36"/>
        <v>370995.76047588093</v>
      </c>
      <c r="AE73" s="256">
        <f t="shared" si="36"/>
        <v>370253.76895492926</v>
      </c>
      <c r="AF73" s="256">
        <f t="shared" si="36"/>
        <v>369513.26141701941</v>
      </c>
      <c r="AG73" s="256">
        <f t="shared" si="36"/>
        <v>368774.23489418533</v>
      </c>
      <c r="AH73" s="256">
        <f t="shared" ref="AH73:AL73" si="37">AH69+AH34</f>
        <v>736073.3728487941</v>
      </c>
      <c r="AI73" s="256">
        <f t="shared" si="37"/>
        <v>1101901.8391546446</v>
      </c>
      <c r="AJ73" s="256">
        <f t="shared" si="37"/>
        <v>1466264.0473017809</v>
      </c>
      <c r="AK73" s="256">
        <f t="shared" si="37"/>
        <v>1829164.3990089712</v>
      </c>
      <c r="AL73" s="256">
        <f t="shared" si="37"/>
        <v>2190607.2842531437</v>
      </c>
    </row>
    <row r="76" spans="2:38" x14ac:dyDescent="0.2">
      <c r="B76" s="257"/>
    </row>
    <row r="77" spans="2:38" x14ac:dyDescent="0.2">
      <c r="B77" s="257"/>
    </row>
  </sheetData>
  <sheetProtection algorithmName="SHA-512" hashValue="Fi6FGiH/jzgkSN/Bcj0cBMRNtqcOC6CqvDLeF+swcUkQuIC83EcbU9wolGRmOaesLIlpCJP2E8Tq1gAdkZ5lrg==" saltValue="8JMcL0edjqIcPYCbu9FywQ==" spinCount="100000" sheet="1" objects="1" scenarios="1"/>
  <pageMargins left="0.2421875" right="0.2421875" top="1" bottom="1" header="0.5" footer="0.5"/>
  <pageSetup paperSize="9" scale="75" orientation="landscape" r:id="rId1"/>
  <headerFooter alignWithMargins="0">
    <oddHeader>&amp;LPríloha 7: Štandardné tabuľky - Cesty
&amp;"Arial,Tučné"&amp;12 07 Ocenenie času</oddHeader>
    <oddFooter>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FF99"/>
  </sheetPr>
  <dimension ref="B2:AL26"/>
  <sheetViews>
    <sheetView zoomScale="90" zoomScaleNormal="90" workbookViewId="0"/>
  </sheetViews>
  <sheetFormatPr defaultColWidth="9.140625" defaultRowHeight="11.25" x14ac:dyDescent="0.2"/>
  <cols>
    <col min="1" max="1" width="2.85546875" style="259" customWidth="1"/>
    <col min="2" max="2" width="30.42578125" style="259" bestFit="1" customWidth="1"/>
    <col min="3" max="3" width="11" style="259" bestFit="1" customWidth="1"/>
    <col min="4" max="38" width="9.7109375" style="259" bestFit="1" customWidth="1"/>
    <col min="39" max="16384" width="9.140625" style="259"/>
  </cols>
  <sheetData>
    <row r="2" spans="2:38" x14ac:dyDescent="0.2">
      <c r="C2" s="260"/>
      <c r="D2" s="260" t="s">
        <v>10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</row>
    <row r="3" spans="2:38" x14ac:dyDescent="0.2">
      <c r="B3" s="261" t="s">
        <v>416</v>
      </c>
      <c r="C3" s="261"/>
      <c r="D3" s="262">
        <v>1</v>
      </c>
      <c r="E3" s="262">
        <v>2</v>
      </c>
      <c r="F3" s="262">
        <v>3</v>
      </c>
      <c r="G3" s="262">
        <v>4</v>
      </c>
      <c r="H3" s="262">
        <v>5</v>
      </c>
      <c r="I3" s="262">
        <v>6</v>
      </c>
      <c r="J3" s="262">
        <v>7</v>
      </c>
      <c r="K3" s="262">
        <v>8</v>
      </c>
      <c r="L3" s="262">
        <v>9</v>
      </c>
      <c r="M3" s="262">
        <v>10</v>
      </c>
      <c r="N3" s="262">
        <v>11</v>
      </c>
      <c r="O3" s="262">
        <v>12</v>
      </c>
      <c r="P3" s="262">
        <v>13</v>
      </c>
      <c r="Q3" s="262">
        <v>14</v>
      </c>
      <c r="R3" s="262">
        <v>15</v>
      </c>
      <c r="S3" s="262">
        <v>16</v>
      </c>
      <c r="T3" s="262">
        <v>17</v>
      </c>
      <c r="U3" s="262">
        <v>18</v>
      </c>
      <c r="V3" s="262">
        <v>19</v>
      </c>
      <c r="W3" s="262">
        <v>20</v>
      </c>
      <c r="X3" s="262">
        <v>21</v>
      </c>
      <c r="Y3" s="262">
        <v>22</v>
      </c>
      <c r="Z3" s="262">
        <v>23</v>
      </c>
      <c r="AA3" s="262">
        <v>24</v>
      </c>
      <c r="AB3" s="262">
        <v>25</v>
      </c>
      <c r="AC3" s="262">
        <v>26</v>
      </c>
      <c r="AD3" s="262">
        <v>27</v>
      </c>
      <c r="AE3" s="262">
        <v>28</v>
      </c>
      <c r="AF3" s="262">
        <v>29</v>
      </c>
      <c r="AG3" s="262">
        <v>30</v>
      </c>
      <c r="AH3" s="262">
        <v>31</v>
      </c>
      <c r="AI3" s="262">
        <v>32</v>
      </c>
      <c r="AJ3" s="262">
        <v>33</v>
      </c>
      <c r="AK3" s="262">
        <v>34</v>
      </c>
      <c r="AL3" s="262">
        <v>35</v>
      </c>
    </row>
    <row r="4" spans="2:38" x14ac:dyDescent="0.2">
      <c r="B4" s="263" t="s">
        <v>33</v>
      </c>
      <c r="C4" s="264" t="s">
        <v>9</v>
      </c>
      <c r="D4" s="265">
        <f>Parametre!C13</f>
        <v>2025</v>
      </c>
      <c r="E4" s="265">
        <f>$D$4+D3</f>
        <v>2026</v>
      </c>
      <c r="F4" s="265">
        <f>$D$4+E3</f>
        <v>2027</v>
      </c>
      <c r="G4" s="265">
        <f t="shared" ref="G4:AL4" si="0">$D$4+F3</f>
        <v>2028</v>
      </c>
      <c r="H4" s="265">
        <f t="shared" si="0"/>
        <v>2029</v>
      </c>
      <c r="I4" s="265">
        <f t="shared" si="0"/>
        <v>2030</v>
      </c>
      <c r="J4" s="265">
        <f t="shared" si="0"/>
        <v>2031</v>
      </c>
      <c r="K4" s="265">
        <f t="shared" si="0"/>
        <v>2032</v>
      </c>
      <c r="L4" s="265">
        <f t="shared" si="0"/>
        <v>2033</v>
      </c>
      <c r="M4" s="265">
        <f t="shared" si="0"/>
        <v>2034</v>
      </c>
      <c r="N4" s="265">
        <f t="shared" si="0"/>
        <v>2035</v>
      </c>
      <c r="O4" s="265">
        <f t="shared" si="0"/>
        <v>2036</v>
      </c>
      <c r="P4" s="265">
        <f t="shared" si="0"/>
        <v>2037</v>
      </c>
      <c r="Q4" s="265">
        <f t="shared" si="0"/>
        <v>2038</v>
      </c>
      <c r="R4" s="265">
        <f t="shared" si="0"/>
        <v>2039</v>
      </c>
      <c r="S4" s="265">
        <f t="shared" si="0"/>
        <v>2040</v>
      </c>
      <c r="T4" s="265">
        <f t="shared" si="0"/>
        <v>2041</v>
      </c>
      <c r="U4" s="265">
        <f t="shared" si="0"/>
        <v>2042</v>
      </c>
      <c r="V4" s="265">
        <f t="shared" si="0"/>
        <v>2043</v>
      </c>
      <c r="W4" s="265">
        <f t="shared" si="0"/>
        <v>2044</v>
      </c>
      <c r="X4" s="265">
        <f t="shared" si="0"/>
        <v>2045</v>
      </c>
      <c r="Y4" s="265">
        <f t="shared" si="0"/>
        <v>2046</v>
      </c>
      <c r="Z4" s="265">
        <f t="shared" si="0"/>
        <v>2047</v>
      </c>
      <c r="AA4" s="265">
        <f t="shared" si="0"/>
        <v>2048</v>
      </c>
      <c r="AB4" s="265">
        <f t="shared" si="0"/>
        <v>2049</v>
      </c>
      <c r="AC4" s="265">
        <f t="shared" si="0"/>
        <v>2050</v>
      </c>
      <c r="AD4" s="265">
        <f t="shared" si="0"/>
        <v>2051</v>
      </c>
      <c r="AE4" s="265">
        <f t="shared" si="0"/>
        <v>2052</v>
      </c>
      <c r="AF4" s="265">
        <f t="shared" si="0"/>
        <v>2053</v>
      </c>
      <c r="AG4" s="265">
        <f t="shared" si="0"/>
        <v>2054</v>
      </c>
      <c r="AH4" s="265">
        <f t="shared" si="0"/>
        <v>2055</v>
      </c>
      <c r="AI4" s="265">
        <f t="shared" si="0"/>
        <v>2056</v>
      </c>
      <c r="AJ4" s="265">
        <f t="shared" si="0"/>
        <v>2057</v>
      </c>
      <c r="AK4" s="265">
        <f t="shared" si="0"/>
        <v>2058</v>
      </c>
      <c r="AL4" s="265">
        <f t="shared" si="0"/>
        <v>2059</v>
      </c>
    </row>
    <row r="5" spans="2:38" x14ac:dyDescent="0.2">
      <c r="B5" s="260" t="s">
        <v>60</v>
      </c>
      <c r="C5" s="266">
        <f>SUM(D5:AL5)</f>
        <v>3772772491.1034389</v>
      </c>
      <c r="D5" s="267">
        <f>'10_A Bezpečnosť (cesty)'!D51</f>
        <v>62845772.595234968</v>
      </c>
      <c r="E5" s="267">
        <f>'10_A Bezpečnosť (cesty)'!E51</f>
        <v>65345827.646241926</v>
      </c>
      <c r="F5" s="267">
        <f>'10_A Bezpečnosť (cesty)'!F51</f>
        <v>67573179.440602422</v>
      </c>
      <c r="G5" s="267">
        <f>'10_A Bezpečnosť (cesty)'!G51</f>
        <v>69656541.707230017</v>
      </c>
      <c r="H5" s="267">
        <f>'10_A Bezpečnosť (cesty)'!H51</f>
        <v>71860808.965890408</v>
      </c>
      <c r="I5" s="267">
        <f>'10_A Bezpečnosť (cesty)'!I51</f>
        <v>74017898.006303698</v>
      </c>
      <c r="J5" s="267">
        <f>'10_A Bezpečnosť (cesty)'!J51</f>
        <v>76239737.67339243</v>
      </c>
      <c r="K5" s="267">
        <f>'10_A Bezpečnosť (cesty)'!K51</f>
        <v>78466242.984377101</v>
      </c>
      <c r="L5" s="267">
        <f>'10_A Bezpečnosť (cesty)'!L51</f>
        <v>80757771.085542977</v>
      </c>
      <c r="M5" s="267">
        <f>'10_A Bezpečnosť (cesty)'!M51</f>
        <v>83116220.963901699</v>
      </c>
      <c r="N5" s="267">
        <f>'10_A Bezpečnosť (cesty)'!N51</f>
        <v>85543547.032552168</v>
      </c>
      <c r="O5" s="267">
        <f>'10_A Bezpečnosť (cesty)'!O51</f>
        <v>88041760.726845086</v>
      </c>
      <c r="P5" s="267">
        <f>'10_A Bezpečnosť (cesty)'!P51</f>
        <v>90612932.316708222</v>
      </c>
      <c r="Q5" s="267">
        <f>'10_A Bezpečnosť (cesty)'!Q51</f>
        <v>93259192.433911815</v>
      </c>
      <c r="R5" s="267">
        <f>'10_A Bezpečnosť (cesty)'!R51</f>
        <v>95982733.806803659</v>
      </c>
      <c r="S5" s="267">
        <f>'10_A Bezpečnosť (cesty)'!S51</f>
        <v>98785813.584364831</v>
      </c>
      <c r="T5" s="267">
        <f>'10_A Bezpečnosť (cesty)'!T51</f>
        <v>101670754.48208278</v>
      </c>
      <c r="U5" s="267">
        <f>'10_A Bezpečnosť (cesty)'!U51</f>
        <v>104474508.55785665</v>
      </c>
      <c r="V5" s="267">
        <f>'10_A Bezpečnosť (cesty)'!V51</f>
        <v>107355581.11795639</v>
      </c>
      <c r="W5" s="267">
        <f>'10_A Bezpečnosť (cesty)'!W51</f>
        <v>110316104.57489622</v>
      </c>
      <c r="X5" s="267">
        <f>'10_A Bezpečnosť (cesty)'!X51</f>
        <v>113358269.66713719</v>
      </c>
      <c r="Y5" s="267">
        <f>'10_A Bezpečnosť (cesty)'!Y51</f>
        <v>116484328.02346237</v>
      </c>
      <c r="Z5" s="267">
        <f>'10_A Bezpečnosť (cesty)'!Z51</f>
        <v>119696593.04471859</v>
      </c>
      <c r="AA5" s="267">
        <f>'10_A Bezpečnosť (cesty)'!AA51</f>
        <v>122997441.98694094</v>
      </c>
      <c r="AB5" s="267">
        <f>'10_A Bezpečnosť (cesty)'!AB51</f>
        <v>126389317.9209839</v>
      </c>
      <c r="AC5" s="267">
        <f>'10_A Bezpečnosť (cesty)'!AC51</f>
        <v>129874730.90729189</v>
      </c>
      <c r="AD5" s="267">
        <f>'10_A Bezpečnosť (cesty)'!AD51</f>
        <v>133456260.45652917</v>
      </c>
      <c r="AE5" s="267">
        <f>'10_A Bezpečnosť (cesty)'!AE51</f>
        <v>137027977.14488411</v>
      </c>
      <c r="AF5" s="267">
        <f>'10_A Bezpečnosť (cesty)'!AF51</f>
        <v>140695284.36528549</v>
      </c>
      <c r="AG5" s="267">
        <f>'10_A Bezpečnosť (cesty)'!AG51</f>
        <v>144460740.38483849</v>
      </c>
      <c r="AH5" s="267">
        <f>'10_A Bezpečnosť (cesty)'!AH51</f>
        <v>148326972.11647132</v>
      </c>
      <c r="AI5" s="267">
        <f>'10_A Bezpečnosť (cesty)'!AI51</f>
        <v>152296676.482609</v>
      </c>
      <c r="AJ5" s="267">
        <f>'10_A Bezpečnosť (cesty)'!AJ51</f>
        <v>156372622.97953707</v>
      </c>
      <c r="AK5" s="267">
        <f>'10_A Bezpečnosť (cesty)'!AK51</f>
        <v>160557654.65387395</v>
      </c>
      <c r="AL5" s="267">
        <f>'10_A Bezpečnosť (cesty)'!AL51</f>
        <v>164854691.26617986</v>
      </c>
    </row>
    <row r="6" spans="2:38" x14ac:dyDescent="0.2">
      <c r="B6" s="260" t="s">
        <v>61</v>
      </c>
      <c r="C6" s="266">
        <f>SUM(D6:AL6)</f>
        <v>1935895887.8362479</v>
      </c>
      <c r="D6" s="267">
        <f>'10_A Bezpečnosť (cesty)'!D52</f>
        <v>32247603.948422614</v>
      </c>
      <c r="E6" s="267">
        <f>'10_A Bezpečnosť (cesty)'!E52</f>
        <v>33530439.209510263</v>
      </c>
      <c r="F6" s="267">
        <f>'10_A Bezpečnosť (cesty)'!F52</f>
        <v>34673344.483315028</v>
      </c>
      <c r="G6" s="267">
        <f>'10_A Bezpečnosť (cesty)'!G52</f>
        <v>35742365.075473532</v>
      </c>
      <c r="H6" s="267">
        <f>'10_A Bezpečnosť (cesty)'!H52</f>
        <v>36873425.042130016</v>
      </c>
      <c r="I6" s="267">
        <f>'10_A Bezpečnosť (cesty)'!I52</f>
        <v>37980276.589709066</v>
      </c>
      <c r="J6" s="267">
        <f>'10_A Bezpečnosť (cesty)'!J52</f>
        <v>39120353.065569326</v>
      </c>
      <c r="K6" s="267">
        <f>'10_A Bezpečnosť (cesty)'!K52</f>
        <v>40262824.099920228</v>
      </c>
      <c r="L6" s="267">
        <f>'10_A Bezpečnosť (cesty)'!L52</f>
        <v>41438659.756067902</v>
      </c>
      <c r="M6" s="267">
        <f>'10_A Bezpečnosť (cesty)'!M52</f>
        <v>42648834.48382201</v>
      </c>
      <c r="N6" s="267">
        <f>'10_A Bezpečnosť (cesty)'!N52</f>
        <v>43894350.924044587</v>
      </c>
      <c r="O6" s="267">
        <f>'10_A Bezpečnosť (cesty)'!O52</f>
        <v>45176241.314797103</v>
      </c>
      <c r="P6" s="267">
        <f>'10_A Bezpečnosť (cesty)'!P52</f>
        <v>46495568.362681486</v>
      </c>
      <c r="Q6" s="267">
        <f>'10_A Bezpečnosť (cesty)'!Q52</f>
        <v>47853424.880734161</v>
      </c>
      <c r="R6" s="267">
        <f>'10_A Bezpečnosť (cesty)'!R52</f>
        <v>49250936.523664117</v>
      </c>
      <c r="S6" s="267">
        <f>'10_A Bezpečnosť (cesty)'!S52</f>
        <v>50689260.834849626</v>
      </c>
      <c r="T6" s="267">
        <f>'10_A Bezpečnosť (cesty)'!T52</f>
        <v>52169590.095644563</v>
      </c>
      <c r="U6" s="267">
        <f>'10_A Bezpečnosť (cesty)'!U52</f>
        <v>53608260.735913835</v>
      </c>
      <c r="V6" s="267">
        <f>'10_A Bezpečnosť (cesty)'!V52</f>
        <v>55086604.874888644</v>
      </c>
      <c r="W6" s="267">
        <f>'10_A Bezpečnosť (cesty)'!W52</f>
        <v>56605717.506104156</v>
      </c>
      <c r="X6" s="267">
        <f>'10_A Bezpečnosť (cesty)'!X52</f>
        <v>58166721.788116544</v>
      </c>
      <c r="Y6" s="267">
        <f>'10_A Bezpečnosť (cesty)'!Y52</f>
        <v>59770774.017235644</v>
      </c>
      <c r="Z6" s="267">
        <f>'10_A Bezpečnosť (cesty)'!Z52</f>
        <v>61419060.998135231</v>
      </c>
      <c r="AA6" s="267">
        <f>'10_A Bezpečnosť (cesty)'!AA52</f>
        <v>63112802.286982842</v>
      </c>
      <c r="AB6" s="267">
        <f>'10_A Bezpečnosť (cesty)'!AB52</f>
        <v>64853251.088885568</v>
      </c>
      <c r="AC6" s="267">
        <f>'10_A Bezpečnosť (cesty)'!AC52</f>
        <v>66641695.949879721</v>
      </c>
      <c r="AD6" s="267">
        <f>'10_A Bezpečnosť (cesty)'!AD52</f>
        <v>68479460.985388562</v>
      </c>
      <c r="AE6" s="267">
        <f>'10_A Bezpečnosť (cesty)'!AE52</f>
        <v>70312190.380896315</v>
      </c>
      <c r="AF6" s="267">
        <f>'10_A Bezpečnosť (cesty)'!AF52</f>
        <v>72193969.996419922</v>
      </c>
      <c r="AG6" s="267">
        <f>'10_A Bezpečnosť (cesty)'!AG52</f>
        <v>74126111.488089263</v>
      </c>
      <c r="AH6" s="267">
        <f>'10_A Bezpečnosť (cesty)'!AH52</f>
        <v>76109963.463227823</v>
      </c>
      <c r="AI6" s="267">
        <f>'10_A Bezpečnosť (cesty)'!AI52</f>
        <v>78146910.015152365</v>
      </c>
      <c r="AJ6" s="267">
        <f>'10_A Bezpečnosť (cesty)'!AJ52</f>
        <v>80238371.630278915</v>
      </c>
      <c r="AK6" s="267">
        <f>'10_A Bezpečnosť (cesty)'!AK52</f>
        <v>82385806.999261171</v>
      </c>
      <c r="AL6" s="267">
        <f>'10_A Bezpečnosť (cesty)'!AL52</f>
        <v>84590714.941036031</v>
      </c>
    </row>
    <row r="7" spans="2:38" x14ac:dyDescent="0.2">
      <c r="B7" s="260" t="s">
        <v>62</v>
      </c>
      <c r="C7" s="266">
        <f>SUM(D7:AL7)</f>
        <v>2021346567.2735362</v>
      </c>
      <c r="D7" s="267">
        <f>'10_A Bezpečnosť (cesty)'!D53</f>
        <v>33671016.675431706</v>
      </c>
      <c r="E7" s="267">
        <f>'10_A Bezpečnosť (cesty)'!E53</f>
        <v>35010479.748515747</v>
      </c>
      <c r="F7" s="267">
        <f>'10_A Bezpečnosť (cesty)'!F53</f>
        <v>36203833.607630134</v>
      </c>
      <c r="G7" s="267">
        <f>'10_A Bezpečnosť (cesty)'!G53</f>
        <v>37320037.652136877</v>
      </c>
      <c r="H7" s="267">
        <f>'10_A Bezpečnosť (cesty)'!H53</f>
        <v>38501024.851013713</v>
      </c>
      <c r="I7" s="267">
        <f>'10_A Bezpečnosť (cesty)'!I53</f>
        <v>39656736.570853084</v>
      </c>
      <c r="J7" s="267">
        <f>'10_A Bezpečnosť (cesty)'!J53</f>
        <v>40847136.72337433</v>
      </c>
      <c r="K7" s="267">
        <f>'10_A Bezpečnosť (cesty)'!K53</f>
        <v>42040037.51979968</v>
      </c>
      <c r="L7" s="267">
        <f>'10_A Bezpečnosť (cesty)'!L53</f>
        <v>43267771.677066781</v>
      </c>
      <c r="M7" s="267">
        <f>'10_A Bezpečnosť (cesty)'!M53</f>
        <v>44531361.707685784</v>
      </c>
      <c r="N7" s="267">
        <f>'10_A Bezpečnosť (cesty)'!N53</f>
        <v>45831859.285262525</v>
      </c>
      <c r="O7" s="267">
        <f>'10_A Bezpečnosť (cesty)'!O53</f>
        <v>47170329.578803003</v>
      </c>
      <c r="P7" s="267">
        <f>'10_A Bezpečnosť (cesty)'!P53</f>
        <v>48547892.519955866</v>
      </c>
      <c r="Q7" s="267">
        <f>'10_A Bezpečnosť (cesty)'!Q53</f>
        <v>49965683.164165579</v>
      </c>
      <c r="R7" s="267">
        <f>'10_A Bezpečnosť (cesty)'!R53</f>
        <v>51424877.096874021</v>
      </c>
      <c r="S7" s="267">
        <f>'10_A Bezpečnosť (cesty)'!S53</f>
        <v>52926692.025004663</v>
      </c>
      <c r="T7" s="267">
        <f>'10_A Bezpečnosť (cesty)'!T53</f>
        <v>54472362.565845042</v>
      </c>
      <c r="U7" s="267">
        <f>'10_A Bezpečnosť (cesty)'!U53</f>
        <v>55974535.890005879</v>
      </c>
      <c r="V7" s="267">
        <f>'10_A Bezpečnosť (cesty)'!V53</f>
        <v>57518134.367613576</v>
      </c>
      <c r="W7" s="267">
        <f>'10_A Bezpečnosť (cesty)'!W53</f>
        <v>59104301.849379107</v>
      </c>
      <c r="X7" s="267">
        <f>'10_A Bezpečnosť (cesty)'!X53</f>
        <v>60734213.107769631</v>
      </c>
      <c r="Y7" s="267">
        <f>'10_A Bezpečnosť (cesty)'!Y53</f>
        <v>62409064.903432906</v>
      </c>
      <c r="Z7" s="267">
        <f>'10_A Bezpečnosť (cesty)'!Z53</f>
        <v>64130105.70651643</v>
      </c>
      <c r="AA7" s="267">
        <f>'10_A Bezpečnosť (cesty)'!AA53</f>
        <v>65898607.975345455</v>
      </c>
      <c r="AB7" s="267">
        <f>'10_A Bezpečnosť (cesty)'!AB53</f>
        <v>67715878.445277721</v>
      </c>
      <c r="AC7" s="267">
        <f>'10_A Bezpečnosť (cesty)'!AC53</f>
        <v>69583269.441864058</v>
      </c>
      <c r="AD7" s="267">
        <f>'10_A Bezpečnosť (cesty)'!AD53</f>
        <v>71502148.886927918</v>
      </c>
      <c r="AE7" s="267">
        <f>'10_A Bezpečnosť (cesty)'!AE53</f>
        <v>73415772.266329721</v>
      </c>
      <c r="AF7" s="267">
        <f>'10_A Bezpečnosť (cesty)'!AF53</f>
        <v>75380612.771572828</v>
      </c>
      <c r="AG7" s="267">
        <f>'10_A Bezpečnosť (cesty)'!AG53</f>
        <v>77398041.541725591</v>
      </c>
      <c r="AH7" s="267">
        <f>'10_A Bezpečnosť (cesty)'!AH53</f>
        <v>79469465.777412444</v>
      </c>
      <c r="AI7" s="267">
        <f>'10_A Bezpečnosť (cesty)'!AI53</f>
        <v>81596318.132043675</v>
      </c>
      <c r="AJ7" s="267">
        <f>'10_A Bezpečnosť (cesty)'!AJ53</f>
        <v>83780091.854177758</v>
      </c>
      <c r="AK7" s="267">
        <f>'10_A Bezpečnosť (cesty)'!AK53</f>
        <v>86022319.864184216</v>
      </c>
      <c r="AL7" s="267">
        <f>'10_A Bezpečnosť (cesty)'!AL53</f>
        <v>88324551.522539288</v>
      </c>
    </row>
    <row r="8" spans="2:38" x14ac:dyDescent="0.2">
      <c r="B8" s="261" t="s">
        <v>9</v>
      </c>
      <c r="C8" s="268">
        <f>SUM(D8:AL8)</f>
        <v>7730014946.2132254</v>
      </c>
      <c r="D8" s="268">
        <f t="shared" ref="D8:AL8" si="1">SUM(D5:D7)</f>
        <v>128764393.2190893</v>
      </c>
      <c r="E8" s="268">
        <f t="shared" si="1"/>
        <v>133886746.60426793</v>
      </c>
      <c r="F8" s="268">
        <f t="shared" si="1"/>
        <v>138450357.53154758</v>
      </c>
      <c r="G8" s="268">
        <f t="shared" si="1"/>
        <v>142718944.43484044</v>
      </c>
      <c r="H8" s="268">
        <f t="shared" si="1"/>
        <v>147235258.85903415</v>
      </c>
      <c r="I8" s="268">
        <f t="shared" si="1"/>
        <v>151654911.16686586</v>
      </c>
      <c r="J8" s="268">
        <f t="shared" si="1"/>
        <v>156207227.46233609</v>
      </c>
      <c r="K8" s="268">
        <f t="shared" si="1"/>
        <v>160769104.60409701</v>
      </c>
      <c r="L8" s="268">
        <f t="shared" si="1"/>
        <v>165464202.51867765</v>
      </c>
      <c r="M8" s="268">
        <f t="shared" si="1"/>
        <v>170296417.15540951</v>
      </c>
      <c r="N8" s="268">
        <f t="shared" si="1"/>
        <v>175269757.24185929</v>
      </c>
      <c r="O8" s="268">
        <f t="shared" si="1"/>
        <v>180388331.62044519</v>
      </c>
      <c r="P8" s="268">
        <f t="shared" si="1"/>
        <v>185656393.19934559</v>
      </c>
      <c r="Q8" s="268">
        <f t="shared" si="1"/>
        <v>191078300.47881156</v>
      </c>
      <c r="R8" s="268">
        <f t="shared" si="1"/>
        <v>196658547.42734179</v>
      </c>
      <c r="S8" s="268">
        <f t="shared" si="1"/>
        <v>202401766.44421911</v>
      </c>
      <c r="T8" s="268">
        <f t="shared" si="1"/>
        <v>208312707.14357239</v>
      </c>
      <c r="U8" s="268">
        <f t="shared" si="1"/>
        <v>214057305.18377638</v>
      </c>
      <c r="V8" s="268">
        <f t="shared" si="1"/>
        <v>219960320.36045861</v>
      </c>
      <c r="W8" s="268">
        <f t="shared" si="1"/>
        <v>226026123.93037951</v>
      </c>
      <c r="X8" s="268">
        <f t="shared" si="1"/>
        <v>232259204.56302336</v>
      </c>
      <c r="Y8" s="268">
        <f t="shared" si="1"/>
        <v>238664166.94413093</v>
      </c>
      <c r="Z8" s="268">
        <f t="shared" si="1"/>
        <v>245245759.74937028</v>
      </c>
      <c r="AA8" s="268">
        <f t="shared" si="1"/>
        <v>252008852.24926925</v>
      </c>
      <c r="AB8" s="268">
        <f t="shared" si="1"/>
        <v>258958447.45514718</v>
      </c>
      <c r="AC8" s="268">
        <f t="shared" si="1"/>
        <v>266099696.29903567</v>
      </c>
      <c r="AD8" s="268">
        <f t="shared" si="1"/>
        <v>273437870.32884562</v>
      </c>
      <c r="AE8" s="268">
        <f t="shared" si="1"/>
        <v>280755939.79211015</v>
      </c>
      <c r="AF8" s="268">
        <f t="shared" si="1"/>
        <v>288269867.13327825</v>
      </c>
      <c r="AG8" s="268">
        <f t="shared" si="1"/>
        <v>295984893.41465336</v>
      </c>
      <c r="AH8" s="268">
        <f t="shared" si="1"/>
        <v>303906401.35711157</v>
      </c>
      <c r="AI8" s="268">
        <f t="shared" si="1"/>
        <v>312039904.62980503</v>
      </c>
      <c r="AJ8" s="268">
        <f t="shared" si="1"/>
        <v>320391086.46399373</v>
      </c>
      <c r="AK8" s="268">
        <f t="shared" si="1"/>
        <v>328965781.51731932</v>
      </c>
      <c r="AL8" s="268">
        <f t="shared" si="1"/>
        <v>337769957.72975516</v>
      </c>
    </row>
    <row r="11" spans="2:38" x14ac:dyDescent="0.2">
      <c r="C11" s="260"/>
      <c r="D11" s="260" t="s">
        <v>10</v>
      </c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0"/>
      <c r="AG11" s="260"/>
      <c r="AH11" s="260"/>
      <c r="AI11" s="260"/>
      <c r="AJ11" s="260"/>
      <c r="AK11" s="260"/>
      <c r="AL11" s="260"/>
    </row>
    <row r="12" spans="2:38" x14ac:dyDescent="0.2">
      <c r="B12" s="261" t="s">
        <v>417</v>
      </c>
      <c r="C12" s="261"/>
      <c r="D12" s="262">
        <v>1</v>
      </c>
      <c r="E12" s="262">
        <v>2</v>
      </c>
      <c r="F12" s="262">
        <v>3</v>
      </c>
      <c r="G12" s="262">
        <v>4</v>
      </c>
      <c r="H12" s="262">
        <v>5</v>
      </c>
      <c r="I12" s="262">
        <v>6</v>
      </c>
      <c r="J12" s="262">
        <v>7</v>
      </c>
      <c r="K12" s="262">
        <v>8</v>
      </c>
      <c r="L12" s="262">
        <v>9</v>
      </c>
      <c r="M12" s="262">
        <v>10</v>
      </c>
      <c r="N12" s="262">
        <v>11</v>
      </c>
      <c r="O12" s="262">
        <v>12</v>
      </c>
      <c r="P12" s="262">
        <v>13</v>
      </c>
      <c r="Q12" s="262">
        <v>14</v>
      </c>
      <c r="R12" s="262">
        <v>15</v>
      </c>
      <c r="S12" s="262">
        <v>16</v>
      </c>
      <c r="T12" s="262">
        <v>17</v>
      </c>
      <c r="U12" s="262">
        <v>18</v>
      </c>
      <c r="V12" s="262">
        <v>19</v>
      </c>
      <c r="W12" s="262">
        <v>20</v>
      </c>
      <c r="X12" s="262">
        <v>21</v>
      </c>
      <c r="Y12" s="262">
        <v>22</v>
      </c>
      <c r="Z12" s="262">
        <v>23</v>
      </c>
      <c r="AA12" s="262">
        <v>24</v>
      </c>
      <c r="AB12" s="262">
        <v>25</v>
      </c>
      <c r="AC12" s="262">
        <v>26</v>
      </c>
      <c r="AD12" s="262">
        <v>27</v>
      </c>
      <c r="AE12" s="262">
        <v>28</v>
      </c>
      <c r="AF12" s="262">
        <v>29</v>
      </c>
      <c r="AG12" s="262">
        <v>30</v>
      </c>
      <c r="AH12" s="262">
        <v>31</v>
      </c>
      <c r="AI12" s="262">
        <v>32</v>
      </c>
      <c r="AJ12" s="262">
        <v>33</v>
      </c>
      <c r="AK12" s="262">
        <v>34</v>
      </c>
      <c r="AL12" s="262">
        <v>35</v>
      </c>
    </row>
    <row r="13" spans="2:38" x14ac:dyDescent="0.2">
      <c r="B13" s="263" t="s">
        <v>34</v>
      </c>
      <c r="C13" s="264" t="s">
        <v>9</v>
      </c>
      <c r="D13" s="265">
        <f>D4</f>
        <v>2025</v>
      </c>
      <c r="E13" s="265">
        <f t="shared" ref="E13:AL13" si="2">E4</f>
        <v>2026</v>
      </c>
      <c r="F13" s="265">
        <f t="shared" si="2"/>
        <v>2027</v>
      </c>
      <c r="G13" s="265">
        <f t="shared" si="2"/>
        <v>2028</v>
      </c>
      <c r="H13" s="265">
        <f t="shared" si="2"/>
        <v>2029</v>
      </c>
      <c r="I13" s="265">
        <f t="shared" si="2"/>
        <v>2030</v>
      </c>
      <c r="J13" s="265">
        <f t="shared" si="2"/>
        <v>2031</v>
      </c>
      <c r="K13" s="265">
        <f t="shared" si="2"/>
        <v>2032</v>
      </c>
      <c r="L13" s="265">
        <f t="shared" si="2"/>
        <v>2033</v>
      </c>
      <c r="M13" s="265">
        <f t="shared" si="2"/>
        <v>2034</v>
      </c>
      <c r="N13" s="265">
        <f t="shared" si="2"/>
        <v>2035</v>
      </c>
      <c r="O13" s="265">
        <f t="shared" si="2"/>
        <v>2036</v>
      </c>
      <c r="P13" s="265">
        <f t="shared" si="2"/>
        <v>2037</v>
      </c>
      <c r="Q13" s="265">
        <f t="shared" si="2"/>
        <v>2038</v>
      </c>
      <c r="R13" s="265">
        <f t="shared" si="2"/>
        <v>2039</v>
      </c>
      <c r="S13" s="265">
        <f t="shared" si="2"/>
        <v>2040</v>
      </c>
      <c r="T13" s="265">
        <f t="shared" si="2"/>
        <v>2041</v>
      </c>
      <c r="U13" s="265">
        <f t="shared" si="2"/>
        <v>2042</v>
      </c>
      <c r="V13" s="265">
        <f t="shared" si="2"/>
        <v>2043</v>
      </c>
      <c r="W13" s="265">
        <f t="shared" si="2"/>
        <v>2044</v>
      </c>
      <c r="X13" s="265">
        <f t="shared" si="2"/>
        <v>2045</v>
      </c>
      <c r="Y13" s="265">
        <f t="shared" si="2"/>
        <v>2046</v>
      </c>
      <c r="Z13" s="265">
        <f t="shared" si="2"/>
        <v>2047</v>
      </c>
      <c r="AA13" s="265">
        <f t="shared" si="2"/>
        <v>2048</v>
      </c>
      <c r="AB13" s="265">
        <f t="shared" si="2"/>
        <v>2049</v>
      </c>
      <c r="AC13" s="265">
        <f t="shared" si="2"/>
        <v>2050</v>
      </c>
      <c r="AD13" s="265">
        <f t="shared" si="2"/>
        <v>2051</v>
      </c>
      <c r="AE13" s="265">
        <f t="shared" si="2"/>
        <v>2052</v>
      </c>
      <c r="AF13" s="265">
        <f t="shared" si="2"/>
        <v>2053</v>
      </c>
      <c r="AG13" s="265">
        <f t="shared" si="2"/>
        <v>2054</v>
      </c>
      <c r="AH13" s="265">
        <f t="shared" si="2"/>
        <v>2055</v>
      </c>
      <c r="AI13" s="265">
        <f t="shared" si="2"/>
        <v>2056</v>
      </c>
      <c r="AJ13" s="265">
        <f t="shared" si="2"/>
        <v>2057</v>
      </c>
      <c r="AK13" s="265">
        <f t="shared" si="2"/>
        <v>2058</v>
      </c>
      <c r="AL13" s="265">
        <f t="shared" si="2"/>
        <v>2059</v>
      </c>
    </row>
    <row r="14" spans="2:38" x14ac:dyDescent="0.2">
      <c r="B14" s="260" t="s">
        <v>60</v>
      </c>
      <c r="C14" s="266">
        <f>SUM(D14:AL14)</f>
        <v>3747469734.5973649</v>
      </c>
      <c r="D14" s="267">
        <f>'10_A Bezpečnosť (cesty)'!D61</f>
        <v>62845772.595234968</v>
      </c>
      <c r="E14" s="267">
        <f>'10_A Bezpečnosť (cesty)'!E61</f>
        <v>65345827.646241926</v>
      </c>
      <c r="F14" s="267">
        <f>'10_A Bezpečnosť (cesty)'!F61</f>
        <v>67573179.440602422</v>
      </c>
      <c r="G14" s="267">
        <f>'10_A Bezpečnosť (cesty)'!G61</f>
        <v>68990303.825029284</v>
      </c>
      <c r="H14" s="267">
        <f>'10_A Bezpečnosť (cesty)'!H61</f>
        <v>71184977.258866459</v>
      </c>
      <c r="I14" s="267">
        <f>'10_A Bezpečnosť (cesty)'!I61</f>
        <v>73333415.653233811</v>
      </c>
      <c r="J14" s="267">
        <f>'10_A Bezpečnosť (cesty)'!J61</f>
        <v>75546493.946095094</v>
      </c>
      <c r="K14" s="267">
        <f>'10_A Bezpečnosť (cesty)'!K61</f>
        <v>77764680.332245156</v>
      </c>
      <c r="L14" s="267">
        <f>'10_A Bezpečnosť (cesty)'!L61</f>
        <v>80047789.682103723</v>
      </c>
      <c r="M14" s="267">
        <f>'10_A Bezpečnosť (cesty)'!M61</f>
        <v>82397719.784212664</v>
      </c>
      <c r="N14" s="267">
        <f>'10_A Bezpečnosť (cesty)'!N61</f>
        <v>84816423.839118078</v>
      </c>
      <c r="O14" s="267">
        <f>'10_A Bezpečnosť (cesty)'!O61</f>
        <v>87305912.05553481</v>
      </c>
      <c r="P14" s="267">
        <f>'10_A Bezpečnosť (cesty)'!P61</f>
        <v>89868253.461263359</v>
      </c>
      <c r="Q14" s="267">
        <f>'10_A Bezpečnosť (cesty)'!Q61</f>
        <v>92505577.431863591</v>
      </c>
      <c r="R14" s="267">
        <f>'10_A Bezpečnosť (cesty)'!R61</f>
        <v>95220075.425389975</v>
      </c>
      <c r="S14" s="267">
        <f>'10_A Bezpečnosť (cesty)'!S61</f>
        <v>98014003.302222073</v>
      </c>
      <c r="T14" s="267">
        <f>'10_A Bezpečnosť (cesty)'!T61</f>
        <v>100891244.62058224</v>
      </c>
      <c r="U14" s="267">
        <f>'10_A Bezpečnosť (cesty)'!U61</f>
        <v>103688467.02722251</v>
      </c>
      <c r="V14" s="267">
        <f>'10_A Bezpečnosť (cesty)'!V61</f>
        <v>106562953.18862712</v>
      </c>
      <c r="W14" s="267">
        <f>'10_A Bezpečnosť (cesty)'!W61</f>
        <v>109516835.05713195</v>
      </c>
      <c r="X14" s="267">
        <f>'10_A Bezpečnosť (cesty)'!X61</f>
        <v>112552302.91065913</v>
      </c>
      <c r="Y14" s="267">
        <f>'10_A Bezpečnosť (cesty)'!Y61</f>
        <v>115671607.91016145</v>
      </c>
      <c r="Z14" s="267">
        <f>'10_A Bezpečnosť (cesty)'!Z61</f>
        <v>118877062.98701543</v>
      </c>
      <c r="AA14" s="267">
        <f>'10_A Bezpečnosť (cesty)'!AA61</f>
        <v>122171044.92341398</v>
      </c>
      <c r="AB14" s="267">
        <f>'10_A Bezpečnosť (cesty)'!AB61</f>
        <v>125555996.3106821</v>
      </c>
      <c r="AC14" s="267">
        <f>'10_A Bezpečnosť (cesty)'!AC61</f>
        <v>129034426.7282692</v>
      </c>
      <c r="AD14" s="267">
        <f>'10_A Bezpečnosť (cesty)'!AD61</f>
        <v>132608915.20028549</v>
      </c>
      <c r="AE14" s="267">
        <f>'10_A Bezpečnosť (cesty)'!AE61</f>
        <v>136174208.33310813</v>
      </c>
      <c r="AF14" s="267">
        <f>'10_A Bezpečnosť (cesty)'!AF61</f>
        <v>139835043.30251917</v>
      </c>
      <c r="AG14" s="267">
        <f>'10_A Bezpečnosť (cesty)'!AG61</f>
        <v>143593978.00671342</v>
      </c>
      <c r="AH14" s="267">
        <f>'10_A Bezpečnosť (cesty)'!AH61</f>
        <v>147453638.98584777</v>
      </c>
      <c r="AI14" s="267">
        <f>'10_A Bezpečnosť (cesty)'!AI61</f>
        <v>151416722.78850093</v>
      </c>
      <c r="AJ14" s="267">
        <f>'10_A Bezpečnosť (cesty)'!AJ61</f>
        <v>155485998.53198335</v>
      </c>
      <c r="AK14" s="267">
        <f>'10_A Bezpečnosť (cesty)'!AK61</f>
        <v>159664308.88431466</v>
      </c>
      <c r="AL14" s="267">
        <f>'10_A Bezpečnosť (cesty)'!AL61</f>
        <v>163954573.22106925</v>
      </c>
    </row>
    <row r="15" spans="2:38" x14ac:dyDescent="0.2">
      <c r="B15" s="260" t="s">
        <v>61</v>
      </c>
      <c r="C15" s="266">
        <f>SUM(D15:AL15)</f>
        <v>1922912464.5501029</v>
      </c>
      <c r="D15" s="267">
        <f>'10_A Bezpečnosť (cesty)'!D62</f>
        <v>32247603.948422614</v>
      </c>
      <c r="E15" s="267">
        <f>'10_A Bezpečnosť (cesty)'!E62</f>
        <v>33530439.209510263</v>
      </c>
      <c r="F15" s="267">
        <f>'10_A Bezpečnosť (cesty)'!F62</f>
        <v>34673344.483315028</v>
      </c>
      <c r="G15" s="267">
        <f>'10_A Bezpečnosť (cesty)'!G62</f>
        <v>35400503.176661275</v>
      </c>
      <c r="H15" s="267">
        <f>'10_A Bezpečnosť (cesty)'!H62</f>
        <v>36526640.33223521</v>
      </c>
      <c r="I15" s="267">
        <f>'10_A Bezpečnosť (cesty)'!I62</f>
        <v>37629053.037154853</v>
      </c>
      <c r="J15" s="267">
        <f>'10_A Bezpečnosť (cesty)'!J62</f>
        <v>38764633.854040243</v>
      </c>
      <c r="K15" s="267">
        <f>'10_A Bezpečnosť (cesty)'!K62</f>
        <v>39902836.255676359</v>
      </c>
      <c r="L15" s="267">
        <f>'10_A Bezpečnosť (cesty)'!L62</f>
        <v>41074352.056452334</v>
      </c>
      <c r="M15" s="267">
        <f>'10_A Bezpečnosť (cesty)'!M62</f>
        <v>42280155.090875387</v>
      </c>
      <c r="N15" s="267">
        <f>'10_A Bezpečnosť (cesty)'!N62</f>
        <v>43521247.379419982</v>
      </c>
      <c r="O15" s="267">
        <f>'10_A Bezpečnosť (cesty)'!O62</f>
        <v>44798660.52958969</v>
      </c>
      <c r="P15" s="267">
        <f>'10_A Bezpečnosť (cesty)'!P62</f>
        <v>46113456.607258298</v>
      </c>
      <c r="Q15" s="267">
        <f>'10_A Bezpečnosť (cesty)'!Q62</f>
        <v>47466727.784734055</v>
      </c>
      <c r="R15" s="267">
        <f>'10_A Bezpečnosť (cesty)'!R62</f>
        <v>48859599.060742393</v>
      </c>
      <c r="S15" s="267">
        <f>'10_A Bezpečnosť (cesty)'!S62</f>
        <v>50293227.322677948</v>
      </c>
      <c r="T15" s="267">
        <f>'10_A Bezpečnosť (cesty)'!T62</f>
        <v>51769605.752485558</v>
      </c>
      <c r="U15" s="267">
        <f>'10_A Bezpečnosť (cesty)'!U62</f>
        <v>53204924.841778897</v>
      </c>
      <c r="V15" s="267">
        <f>'10_A Bezpečnosť (cesty)'!V62</f>
        <v>54679889.349705212</v>
      </c>
      <c r="W15" s="267">
        <f>'10_A Bezpečnosť (cesty)'!W62</f>
        <v>56195594.02768594</v>
      </c>
      <c r="X15" s="267">
        <f>'10_A Bezpečnosť (cesty)'!X62</f>
        <v>57753161.804957062</v>
      </c>
      <c r="Y15" s="267">
        <f>'10_A Bezpečnosť (cesty)'!Y62</f>
        <v>59353748.731039301</v>
      </c>
      <c r="Z15" s="267">
        <f>'10_A Bezpečnosť (cesty)'!Z62</f>
        <v>60998541.371606924</v>
      </c>
      <c r="AA15" s="267">
        <f>'10_A Bezpečnosť (cesty)'!AA62</f>
        <v>62688759.041543171</v>
      </c>
      <c r="AB15" s="267">
        <f>'10_A Bezpečnosť (cesty)'!AB62</f>
        <v>64425654.702421278</v>
      </c>
      <c r="AC15" s="267">
        <f>'10_A Bezpečnosť (cesty)'!AC62</f>
        <v>66210516.649544418</v>
      </c>
      <c r="AD15" s="267">
        <f>'10_A Bezpečnosť (cesty)'!AD62</f>
        <v>68044668.745462194</v>
      </c>
      <c r="AE15" s="267">
        <f>'10_A Bezpečnosť (cesty)'!AE62</f>
        <v>69874102.068672374</v>
      </c>
      <c r="AF15" s="267">
        <f>'10_A Bezpečnosť (cesty)'!AF62</f>
        <v>71752560.621861219</v>
      </c>
      <c r="AG15" s="267">
        <f>'10_A Bezpečnosť (cesty)'!AG62</f>
        <v>73681355.878340766</v>
      </c>
      <c r="AH15" s="267">
        <f>'10_A Bezpečnosť (cesty)'!AH62</f>
        <v>75661836.249987125</v>
      </c>
      <c r="AI15" s="267">
        <f>'10_A Bezpečnosť (cesty)'!AI62</f>
        <v>77695385.63695085</v>
      </c>
      <c r="AJ15" s="267">
        <f>'10_A Bezpečnosť (cesty)'!AJ62</f>
        <v>79783424.334749982</v>
      </c>
      <c r="AK15" s="267">
        <f>'10_A Bezpečnosť (cesty)'!AK62</f>
        <v>81927410.840490773</v>
      </c>
      <c r="AL15" s="267">
        <f>'10_A Bezpečnosť (cesty)'!AL62</f>
        <v>84128843.772054285</v>
      </c>
    </row>
    <row r="16" spans="2:38" x14ac:dyDescent="0.2">
      <c r="B16" s="260" t="s">
        <v>62</v>
      </c>
      <c r="C16" s="266">
        <f>SUM(D16:AL16)</f>
        <v>2007790054.001549</v>
      </c>
      <c r="D16" s="267">
        <f>'10_A Bezpečnosť (cesty)'!D63</f>
        <v>33671016.675431706</v>
      </c>
      <c r="E16" s="267">
        <f>'10_A Bezpečnosť (cesty)'!E63</f>
        <v>35010479.748515747</v>
      </c>
      <c r="F16" s="267">
        <f>'10_A Bezpečnosť (cesty)'!F63</f>
        <v>36203833.607630134</v>
      </c>
      <c r="G16" s="267">
        <f>'10_A Bezpečnosť (cesty)'!G63</f>
        <v>36963085.925283767</v>
      </c>
      <c r="H16" s="267">
        <f>'10_A Bezpečnosť (cesty)'!H63</f>
        <v>38138932.999813117</v>
      </c>
      <c r="I16" s="267">
        <f>'10_A Bezpečnosť (cesty)'!I63</f>
        <v>39290009.912919909</v>
      </c>
      <c r="J16" s="267">
        <f>'10_A Bezpečnosť (cesty)'!J63</f>
        <v>40475715.963339128</v>
      </c>
      <c r="K16" s="267">
        <f>'10_A Bezpečnosť (cesty)'!K63</f>
        <v>41664159.701564014</v>
      </c>
      <c r="L16" s="267">
        <f>'10_A Bezpečnosť (cesty)'!L63</f>
        <v>42887383.352252394</v>
      </c>
      <c r="M16" s="267">
        <f>'10_A Bezpečnosť (cesty)'!M63</f>
        <v>44146408.740033083</v>
      </c>
      <c r="N16" s="267">
        <f>'10_A Bezpečnosť (cesty)'!N63</f>
        <v>45442286.850630611</v>
      </c>
      <c r="O16" s="267">
        <f>'10_A Bezpečnosť (cesty)'!O63</f>
        <v>46776082.302745901</v>
      </c>
      <c r="P16" s="267">
        <f>'10_A Bezpečnosť (cesty)'!P63</f>
        <v>48148914.271358177</v>
      </c>
      <c r="Q16" s="267">
        <f>'10_A Bezpečnosť (cesty)'!Q63</f>
        <v>49561917.192818716</v>
      </c>
      <c r="R16" s="267">
        <f>'10_A Bezpečnosť (cesty)'!R63</f>
        <v>51016265.964688085</v>
      </c>
      <c r="S16" s="267">
        <f>'10_A Bezpečnosť (cesty)'!S63</f>
        <v>52513177.537220284</v>
      </c>
      <c r="T16" s="267">
        <f>'10_A Bezpečnosť (cesty)'!T63</f>
        <v>54054722.861924157</v>
      </c>
      <c r="U16" s="267">
        <f>'10_A Bezpečnosť (cesty)'!U63</f>
        <v>55553396.700409688</v>
      </c>
      <c r="V16" s="267">
        <f>'10_A Bezpečnosť (cesty)'!V63</f>
        <v>57093466.369285747</v>
      </c>
      <c r="W16" s="267">
        <f>'10_A Bezpečnosť (cesty)'!W63</f>
        <v>58676075.462860227</v>
      </c>
      <c r="X16" s="267">
        <f>'10_A Bezpečnosť (cesty)'!X63</f>
        <v>60302398.500070952</v>
      </c>
      <c r="Y16" s="267">
        <f>'10_A Bezpečnosť (cesty)'!Y63</f>
        <v>61973632.058860824</v>
      </c>
      <c r="Z16" s="267">
        <f>'10_A Bezpečnosť (cesty)'!Z63</f>
        <v>63691024.293309145</v>
      </c>
      <c r="AA16" s="267">
        <f>'10_A Bezpečnosť (cesty)'!AA63</f>
        <v>65455847.416738711</v>
      </c>
      <c r="AB16" s="267">
        <f>'10_A Bezpečnosť (cesty)'!AB63</f>
        <v>67269407.922315493</v>
      </c>
      <c r="AC16" s="267">
        <f>'10_A Bezpečnosť (cesty)'!AC63</f>
        <v>69133057.828768998</v>
      </c>
      <c r="AD16" s="267">
        <f>'10_A Bezpečnosť (cesty)'!AD63</f>
        <v>71048164.888999984</v>
      </c>
      <c r="AE16" s="267">
        <f>'10_A Bezpečnosť (cesty)'!AE63</f>
        <v>72958346.724776506</v>
      </c>
      <c r="AF16" s="267">
        <f>'10_A Bezpečnosť (cesty)'!AF63</f>
        <v>74919719.581476733</v>
      </c>
      <c r="AG16" s="267">
        <f>'10_A Bezpečnosť (cesty)'!AG63</f>
        <v>76933654.398407519</v>
      </c>
      <c r="AH16" s="267">
        <f>'10_A Bezpečnosť (cesty)'!AH63</f>
        <v>79001558.178773746</v>
      </c>
      <c r="AI16" s="267">
        <f>'10_A Bezpečnosť (cesty)'!AI63</f>
        <v>81124863.447514772</v>
      </c>
      <c r="AJ16" s="267">
        <f>'10_A Bezpečnosť (cesty)'!AJ63</f>
        <v>83305063.193528324</v>
      </c>
      <c r="AK16" s="267">
        <f>'10_A Bezpečnosť (cesty)'!AK63</f>
        <v>85543690.080359757</v>
      </c>
      <c r="AL16" s="267">
        <f>'10_A Bezpečnosť (cesty)'!AL63</f>
        <v>87842293.346923441</v>
      </c>
    </row>
    <row r="17" spans="2:38" x14ac:dyDescent="0.2">
      <c r="B17" s="261" t="s">
        <v>9</v>
      </c>
      <c r="C17" s="268">
        <f>SUM(D17:AL17)</f>
        <v>7678172253.1490192</v>
      </c>
      <c r="D17" s="268">
        <f t="shared" ref="D17:AL17" si="3">SUM(D14:D16)</f>
        <v>128764393.2190893</v>
      </c>
      <c r="E17" s="268">
        <f t="shared" si="3"/>
        <v>133886746.60426793</v>
      </c>
      <c r="F17" s="268">
        <f t="shared" si="3"/>
        <v>138450357.53154758</v>
      </c>
      <c r="G17" s="268">
        <f t="shared" si="3"/>
        <v>141353892.92697433</v>
      </c>
      <c r="H17" s="268">
        <f t="shared" si="3"/>
        <v>145850550.59091479</v>
      </c>
      <c r="I17" s="268">
        <f t="shared" si="3"/>
        <v>150252478.60330856</v>
      </c>
      <c r="J17" s="268">
        <f t="shared" si="3"/>
        <v>154786843.76347446</v>
      </c>
      <c r="K17" s="268">
        <f t="shared" si="3"/>
        <v>159331676.28948551</v>
      </c>
      <c r="L17" s="268">
        <f t="shared" si="3"/>
        <v>164009525.09080845</v>
      </c>
      <c r="M17" s="268">
        <f t="shared" si="3"/>
        <v>168824283.61512113</v>
      </c>
      <c r="N17" s="268">
        <f t="shared" si="3"/>
        <v>173779958.06916869</v>
      </c>
      <c r="O17" s="268">
        <f t="shared" si="3"/>
        <v>178880654.8878704</v>
      </c>
      <c r="P17" s="268">
        <f t="shared" si="3"/>
        <v>184130624.33987981</v>
      </c>
      <c r="Q17" s="268">
        <f t="shared" si="3"/>
        <v>189534222.40941638</v>
      </c>
      <c r="R17" s="268">
        <f t="shared" si="3"/>
        <v>195095940.45082048</v>
      </c>
      <c r="S17" s="268">
        <f t="shared" si="3"/>
        <v>200820408.16212028</v>
      </c>
      <c r="T17" s="268">
        <f t="shared" si="3"/>
        <v>206715573.23499197</v>
      </c>
      <c r="U17" s="268">
        <f t="shared" si="3"/>
        <v>212446788.5694111</v>
      </c>
      <c r="V17" s="268">
        <f t="shared" si="3"/>
        <v>218336308.90761811</v>
      </c>
      <c r="W17" s="268">
        <f t="shared" si="3"/>
        <v>224388504.54767811</v>
      </c>
      <c r="X17" s="268">
        <f t="shared" si="3"/>
        <v>230607863.21568716</v>
      </c>
      <c r="Y17" s="268">
        <f t="shared" si="3"/>
        <v>236998988.70006156</v>
      </c>
      <c r="Z17" s="268">
        <f t="shared" si="3"/>
        <v>243566628.65193149</v>
      </c>
      <c r="AA17" s="268">
        <f t="shared" si="3"/>
        <v>250315651.38169587</v>
      </c>
      <c r="AB17" s="268">
        <f t="shared" si="3"/>
        <v>257251058.93541884</v>
      </c>
      <c r="AC17" s="268">
        <f t="shared" si="3"/>
        <v>264378001.20658264</v>
      </c>
      <c r="AD17" s="268">
        <f t="shared" si="3"/>
        <v>271701748.83474767</v>
      </c>
      <c r="AE17" s="268">
        <f t="shared" si="3"/>
        <v>279006657.12655699</v>
      </c>
      <c r="AF17" s="268">
        <f t="shared" si="3"/>
        <v>286507323.50585711</v>
      </c>
      <c r="AG17" s="268">
        <f t="shared" si="3"/>
        <v>294208988.28346169</v>
      </c>
      <c r="AH17" s="268">
        <f t="shared" si="3"/>
        <v>302117033.41460866</v>
      </c>
      <c r="AI17" s="268">
        <f t="shared" si="3"/>
        <v>310236971.87296653</v>
      </c>
      <c r="AJ17" s="268">
        <f t="shared" si="3"/>
        <v>318574486.06026161</v>
      </c>
      <c r="AK17" s="268">
        <f t="shared" si="3"/>
        <v>327135409.80516517</v>
      </c>
      <c r="AL17" s="268">
        <f t="shared" si="3"/>
        <v>335925710.340047</v>
      </c>
    </row>
    <row r="20" spans="2:38" x14ac:dyDescent="0.2">
      <c r="C20" s="260"/>
      <c r="D20" s="260" t="s">
        <v>10</v>
      </c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  <c r="AG20" s="260"/>
      <c r="AH20" s="260"/>
      <c r="AI20" s="260"/>
      <c r="AJ20" s="260"/>
      <c r="AK20" s="260"/>
      <c r="AL20" s="260"/>
    </row>
    <row r="21" spans="2:38" x14ac:dyDescent="0.2">
      <c r="B21" s="261" t="s">
        <v>418</v>
      </c>
      <c r="C21" s="261"/>
      <c r="D21" s="262">
        <v>1</v>
      </c>
      <c r="E21" s="262">
        <v>2</v>
      </c>
      <c r="F21" s="262">
        <v>3</v>
      </c>
      <c r="G21" s="262">
        <v>4</v>
      </c>
      <c r="H21" s="262">
        <v>5</v>
      </c>
      <c r="I21" s="262">
        <v>6</v>
      </c>
      <c r="J21" s="262">
        <v>7</v>
      </c>
      <c r="K21" s="262">
        <v>8</v>
      </c>
      <c r="L21" s="262">
        <v>9</v>
      </c>
      <c r="M21" s="262">
        <v>10</v>
      </c>
      <c r="N21" s="262">
        <v>11</v>
      </c>
      <c r="O21" s="262">
        <v>12</v>
      </c>
      <c r="P21" s="262">
        <v>13</v>
      </c>
      <c r="Q21" s="262">
        <v>14</v>
      </c>
      <c r="R21" s="262">
        <v>15</v>
      </c>
      <c r="S21" s="262">
        <v>16</v>
      </c>
      <c r="T21" s="262">
        <v>17</v>
      </c>
      <c r="U21" s="262">
        <v>18</v>
      </c>
      <c r="V21" s="262">
        <v>19</v>
      </c>
      <c r="W21" s="262">
        <v>20</v>
      </c>
      <c r="X21" s="262">
        <v>21</v>
      </c>
      <c r="Y21" s="262">
        <v>22</v>
      </c>
      <c r="Z21" s="262">
        <v>23</v>
      </c>
      <c r="AA21" s="262">
        <v>24</v>
      </c>
      <c r="AB21" s="262">
        <v>25</v>
      </c>
      <c r="AC21" s="262">
        <v>26</v>
      </c>
      <c r="AD21" s="262">
        <v>27</v>
      </c>
      <c r="AE21" s="262">
        <v>28</v>
      </c>
      <c r="AF21" s="262">
        <v>29</v>
      </c>
      <c r="AG21" s="262">
        <v>30</v>
      </c>
      <c r="AH21" s="262">
        <v>31</v>
      </c>
      <c r="AI21" s="262">
        <v>32</v>
      </c>
      <c r="AJ21" s="262">
        <v>33</v>
      </c>
      <c r="AK21" s="262">
        <v>34</v>
      </c>
      <c r="AL21" s="262">
        <v>35</v>
      </c>
    </row>
    <row r="22" spans="2:38" x14ac:dyDescent="0.2">
      <c r="B22" s="263" t="s">
        <v>63</v>
      </c>
      <c r="C22" s="264" t="s">
        <v>9</v>
      </c>
      <c r="D22" s="265">
        <f>D4</f>
        <v>2025</v>
      </c>
      <c r="E22" s="265">
        <f t="shared" ref="E22:AL22" si="4">E4</f>
        <v>2026</v>
      </c>
      <c r="F22" s="265">
        <f t="shared" si="4"/>
        <v>2027</v>
      </c>
      <c r="G22" s="265">
        <f t="shared" si="4"/>
        <v>2028</v>
      </c>
      <c r="H22" s="265">
        <f t="shared" si="4"/>
        <v>2029</v>
      </c>
      <c r="I22" s="265">
        <f t="shared" si="4"/>
        <v>2030</v>
      </c>
      <c r="J22" s="265">
        <f t="shared" si="4"/>
        <v>2031</v>
      </c>
      <c r="K22" s="265">
        <f t="shared" si="4"/>
        <v>2032</v>
      </c>
      <c r="L22" s="265">
        <f t="shared" si="4"/>
        <v>2033</v>
      </c>
      <c r="M22" s="265">
        <f t="shared" si="4"/>
        <v>2034</v>
      </c>
      <c r="N22" s="265">
        <f t="shared" si="4"/>
        <v>2035</v>
      </c>
      <c r="O22" s="265">
        <f t="shared" si="4"/>
        <v>2036</v>
      </c>
      <c r="P22" s="265">
        <f t="shared" si="4"/>
        <v>2037</v>
      </c>
      <c r="Q22" s="265">
        <f t="shared" si="4"/>
        <v>2038</v>
      </c>
      <c r="R22" s="265">
        <f t="shared" si="4"/>
        <v>2039</v>
      </c>
      <c r="S22" s="265">
        <f t="shared" si="4"/>
        <v>2040</v>
      </c>
      <c r="T22" s="265">
        <f t="shared" si="4"/>
        <v>2041</v>
      </c>
      <c r="U22" s="265">
        <f t="shared" si="4"/>
        <v>2042</v>
      </c>
      <c r="V22" s="265">
        <f t="shared" si="4"/>
        <v>2043</v>
      </c>
      <c r="W22" s="265">
        <f t="shared" si="4"/>
        <v>2044</v>
      </c>
      <c r="X22" s="265">
        <f t="shared" si="4"/>
        <v>2045</v>
      </c>
      <c r="Y22" s="265">
        <f t="shared" si="4"/>
        <v>2046</v>
      </c>
      <c r="Z22" s="265">
        <f t="shared" si="4"/>
        <v>2047</v>
      </c>
      <c r="AA22" s="265">
        <f t="shared" si="4"/>
        <v>2048</v>
      </c>
      <c r="AB22" s="265">
        <f t="shared" si="4"/>
        <v>2049</v>
      </c>
      <c r="AC22" s="265">
        <f t="shared" si="4"/>
        <v>2050</v>
      </c>
      <c r="AD22" s="265">
        <f t="shared" si="4"/>
        <v>2051</v>
      </c>
      <c r="AE22" s="265">
        <f t="shared" si="4"/>
        <v>2052</v>
      </c>
      <c r="AF22" s="265">
        <f t="shared" si="4"/>
        <v>2053</v>
      </c>
      <c r="AG22" s="265">
        <f t="shared" si="4"/>
        <v>2054</v>
      </c>
      <c r="AH22" s="265">
        <f t="shared" si="4"/>
        <v>2055</v>
      </c>
      <c r="AI22" s="265">
        <f t="shared" si="4"/>
        <v>2056</v>
      </c>
      <c r="AJ22" s="265">
        <f t="shared" si="4"/>
        <v>2057</v>
      </c>
      <c r="AK22" s="265">
        <f t="shared" si="4"/>
        <v>2058</v>
      </c>
      <c r="AL22" s="265">
        <f t="shared" si="4"/>
        <v>2059</v>
      </c>
    </row>
    <row r="23" spans="2:38" x14ac:dyDescent="0.2">
      <c r="B23" s="260" t="s">
        <v>60</v>
      </c>
      <c r="C23" s="266">
        <f>SUM(D23:AL23)</f>
        <v>25302756.506074116</v>
      </c>
      <c r="D23" s="266">
        <f t="shared" ref="D23:AL25" si="5">D5-D14</f>
        <v>0</v>
      </c>
      <c r="E23" s="266">
        <f t="shared" si="5"/>
        <v>0</v>
      </c>
      <c r="F23" s="266">
        <f t="shared" si="5"/>
        <v>0</v>
      </c>
      <c r="G23" s="266">
        <f t="shared" si="5"/>
        <v>666237.88220073283</v>
      </c>
      <c r="H23" s="266">
        <f t="shared" si="5"/>
        <v>675831.70702394843</v>
      </c>
      <c r="I23" s="266">
        <f t="shared" si="5"/>
        <v>684482.35306988657</v>
      </c>
      <c r="J23" s="266">
        <f t="shared" si="5"/>
        <v>693243.72729733586</v>
      </c>
      <c r="K23" s="266">
        <f t="shared" si="5"/>
        <v>701562.65213194489</v>
      </c>
      <c r="L23" s="266">
        <f t="shared" si="5"/>
        <v>709981.40343925357</v>
      </c>
      <c r="M23" s="266">
        <f t="shared" si="5"/>
        <v>718501.17968903482</v>
      </c>
      <c r="N23" s="266">
        <f t="shared" si="5"/>
        <v>727123.19343408942</v>
      </c>
      <c r="O23" s="266">
        <f t="shared" si="5"/>
        <v>735848.67131027579</v>
      </c>
      <c r="P23" s="266">
        <f t="shared" si="5"/>
        <v>744678.85544486344</v>
      </c>
      <c r="Q23" s="266">
        <f t="shared" si="5"/>
        <v>753615.00204822421</v>
      </c>
      <c r="R23" s="266">
        <f t="shared" si="5"/>
        <v>762658.3814136833</v>
      </c>
      <c r="S23" s="266">
        <f t="shared" si="5"/>
        <v>771810.28214275837</v>
      </c>
      <c r="T23" s="266">
        <f t="shared" si="5"/>
        <v>779509.86150054634</v>
      </c>
      <c r="U23" s="266">
        <f t="shared" si="5"/>
        <v>786041.53063413501</v>
      </c>
      <c r="V23" s="266">
        <f t="shared" si="5"/>
        <v>792627.92932926118</v>
      </c>
      <c r="W23" s="266">
        <f t="shared" si="5"/>
        <v>799269.51776427031</v>
      </c>
      <c r="X23" s="266">
        <f t="shared" si="5"/>
        <v>805966.75647805631</v>
      </c>
      <c r="Y23" s="266">
        <f t="shared" si="5"/>
        <v>812720.11330091953</v>
      </c>
      <c r="Z23" s="266">
        <f t="shared" si="5"/>
        <v>819530.0577031672</v>
      </c>
      <c r="AA23" s="266">
        <f t="shared" si="5"/>
        <v>826397.06352695823</v>
      </c>
      <c r="AB23" s="266">
        <f t="shared" si="5"/>
        <v>833321.61030179262</v>
      </c>
      <c r="AC23" s="266">
        <f t="shared" si="5"/>
        <v>840304.17902268469</v>
      </c>
      <c r="AD23" s="266">
        <f t="shared" si="5"/>
        <v>847345.25624367595</v>
      </c>
      <c r="AE23" s="266">
        <f t="shared" si="5"/>
        <v>853768.81177598238</v>
      </c>
      <c r="AF23" s="266">
        <f t="shared" si="5"/>
        <v>860241.06276631355</v>
      </c>
      <c r="AG23" s="266">
        <f t="shared" si="5"/>
        <v>866762.37812507153</v>
      </c>
      <c r="AH23" s="266">
        <f t="shared" si="5"/>
        <v>873333.13062354922</v>
      </c>
      <c r="AI23" s="266">
        <f t="shared" si="5"/>
        <v>879953.69410806894</v>
      </c>
      <c r="AJ23" s="266">
        <f t="shared" si="5"/>
        <v>886624.44755372405</v>
      </c>
      <c r="AK23" s="266">
        <f t="shared" si="5"/>
        <v>893345.76955929399</v>
      </c>
      <c r="AL23" s="266">
        <f t="shared" si="5"/>
        <v>900118.04511061311</v>
      </c>
    </row>
    <row r="24" spans="2:38" x14ac:dyDescent="0.2">
      <c r="B24" s="260" t="s">
        <v>61</v>
      </c>
      <c r="C24" s="266">
        <f>SUM(D24:AL24)</f>
        <v>12983423.28614492</v>
      </c>
      <c r="D24" s="266">
        <f t="shared" si="5"/>
        <v>0</v>
      </c>
      <c r="E24" s="266">
        <f t="shared" si="5"/>
        <v>0</v>
      </c>
      <c r="F24" s="266">
        <f t="shared" si="5"/>
        <v>0</v>
      </c>
      <c r="G24" s="266">
        <f t="shared" si="5"/>
        <v>341861.89881225675</v>
      </c>
      <c r="H24" s="266">
        <f t="shared" si="5"/>
        <v>346784.70989480615</v>
      </c>
      <c r="I24" s="266">
        <f t="shared" si="5"/>
        <v>351223.55255421251</v>
      </c>
      <c r="J24" s="266">
        <f t="shared" si="5"/>
        <v>355719.21152908355</v>
      </c>
      <c r="K24" s="266">
        <f t="shared" si="5"/>
        <v>359987.84424386919</v>
      </c>
      <c r="L24" s="266">
        <f t="shared" si="5"/>
        <v>364307.69961556792</v>
      </c>
      <c r="M24" s="266">
        <f t="shared" si="5"/>
        <v>368679.39294662327</v>
      </c>
      <c r="N24" s="266">
        <f t="shared" si="5"/>
        <v>373103.54462460428</v>
      </c>
      <c r="O24" s="266">
        <f t="shared" si="5"/>
        <v>377580.78520741314</v>
      </c>
      <c r="P24" s="266">
        <f t="shared" si="5"/>
        <v>382111.75542318821</v>
      </c>
      <c r="Q24" s="266">
        <f t="shared" si="5"/>
        <v>386697.09600010514</v>
      </c>
      <c r="R24" s="266">
        <f t="shared" si="5"/>
        <v>391337.46292172372</v>
      </c>
      <c r="S24" s="266">
        <f t="shared" si="5"/>
        <v>396033.51217167825</v>
      </c>
      <c r="T24" s="266">
        <f t="shared" si="5"/>
        <v>399984.34315900505</v>
      </c>
      <c r="U24" s="266">
        <f t="shared" si="5"/>
        <v>403335.89413493872</v>
      </c>
      <c r="V24" s="266">
        <f t="shared" si="5"/>
        <v>406715.5251834318</v>
      </c>
      <c r="W24" s="266">
        <f t="shared" si="5"/>
        <v>410123.47841821611</v>
      </c>
      <c r="X24" s="266">
        <f t="shared" si="5"/>
        <v>413559.98315948248</v>
      </c>
      <c r="Y24" s="266">
        <f t="shared" si="5"/>
        <v>417025.2861963436</v>
      </c>
      <c r="Z24" s="266">
        <f t="shared" si="5"/>
        <v>420519.6265283078</v>
      </c>
      <c r="AA24" s="266">
        <f t="shared" si="5"/>
        <v>424043.24543967098</v>
      </c>
      <c r="AB24" s="266">
        <f t="shared" si="5"/>
        <v>427596.38646429032</v>
      </c>
      <c r="AC24" s="266">
        <f t="shared" si="5"/>
        <v>431179.30033530295</v>
      </c>
      <c r="AD24" s="266">
        <f t="shared" si="5"/>
        <v>434792.239926368</v>
      </c>
      <c r="AE24" s="266">
        <f t="shared" si="5"/>
        <v>438088.31222394109</v>
      </c>
      <c r="AF24" s="266">
        <f t="shared" si="5"/>
        <v>441409.37455870211</v>
      </c>
      <c r="AG24" s="266">
        <f t="shared" si="5"/>
        <v>444755.60974849761</v>
      </c>
      <c r="AH24" s="266">
        <f t="shared" si="5"/>
        <v>448127.21324069798</v>
      </c>
      <c r="AI24" s="266">
        <f t="shared" si="5"/>
        <v>451524.37820151448</v>
      </c>
      <c r="AJ24" s="266">
        <f t="shared" si="5"/>
        <v>454947.29552893341</v>
      </c>
      <c r="AK24" s="266">
        <f t="shared" si="5"/>
        <v>458396.15877039731</v>
      </c>
      <c r="AL24" s="266">
        <f t="shared" si="5"/>
        <v>461871.16898174584</v>
      </c>
    </row>
    <row r="25" spans="2:38" x14ac:dyDescent="0.2">
      <c r="B25" s="260" t="s">
        <v>62</v>
      </c>
      <c r="C25" s="269">
        <f>SUM(D25:AL25)</f>
        <v>13556513.271987237</v>
      </c>
      <c r="D25" s="269">
        <f t="shared" si="5"/>
        <v>0</v>
      </c>
      <c r="E25" s="266">
        <f t="shared" si="5"/>
        <v>0</v>
      </c>
      <c r="F25" s="266">
        <f t="shared" si="5"/>
        <v>0</v>
      </c>
      <c r="G25" s="266">
        <f t="shared" si="5"/>
        <v>356951.7268531099</v>
      </c>
      <c r="H25" s="266">
        <f t="shared" si="5"/>
        <v>362091.8512005955</v>
      </c>
      <c r="I25" s="266">
        <f t="shared" si="5"/>
        <v>366726.65793317556</v>
      </c>
      <c r="J25" s="266">
        <f t="shared" si="5"/>
        <v>371420.76003520191</v>
      </c>
      <c r="K25" s="266">
        <f t="shared" si="5"/>
        <v>375877.81823566556</v>
      </c>
      <c r="L25" s="266">
        <f t="shared" si="5"/>
        <v>380388.32481438667</v>
      </c>
      <c r="M25" s="266">
        <f t="shared" si="5"/>
        <v>384952.96765270084</v>
      </c>
      <c r="N25" s="266">
        <f t="shared" si="5"/>
        <v>389572.4346319139</v>
      </c>
      <c r="O25" s="266">
        <f t="shared" si="5"/>
        <v>394247.27605710179</v>
      </c>
      <c r="P25" s="266">
        <f t="shared" si="5"/>
        <v>398978.24859768897</v>
      </c>
      <c r="Q25" s="266">
        <f t="shared" si="5"/>
        <v>403765.97134686261</v>
      </c>
      <c r="R25" s="266">
        <f t="shared" si="5"/>
        <v>408611.13218593597</v>
      </c>
      <c r="S25" s="266">
        <f t="shared" si="5"/>
        <v>413514.48778437823</v>
      </c>
      <c r="T25" s="266">
        <f t="shared" si="5"/>
        <v>417639.70392088592</v>
      </c>
      <c r="U25" s="266">
        <f t="shared" si="5"/>
        <v>421139.18959619105</v>
      </c>
      <c r="V25" s="266">
        <f t="shared" si="5"/>
        <v>424667.99832782894</v>
      </c>
      <c r="W25" s="266">
        <f t="shared" si="5"/>
        <v>428226.38651888072</v>
      </c>
      <c r="X25" s="266">
        <f t="shared" si="5"/>
        <v>431814.60769867897</v>
      </c>
      <c r="Y25" s="266">
        <f t="shared" si="5"/>
        <v>435432.84457208216</v>
      </c>
      <c r="Z25" s="266">
        <f t="shared" si="5"/>
        <v>439081.41320728511</v>
      </c>
      <c r="AA25" s="266">
        <f t="shared" si="5"/>
        <v>442760.55860674381</v>
      </c>
      <c r="AB25" s="266">
        <f t="shared" si="5"/>
        <v>446470.52296222746</v>
      </c>
      <c r="AC25" s="266">
        <f t="shared" si="5"/>
        <v>450211.61309505999</v>
      </c>
      <c r="AD25" s="266">
        <f t="shared" si="5"/>
        <v>453983.99792793393</v>
      </c>
      <c r="AE25" s="266">
        <f t="shared" si="5"/>
        <v>457425.54155321419</v>
      </c>
      <c r="AF25" s="266">
        <f t="shared" si="5"/>
        <v>460893.1900960952</v>
      </c>
      <c r="AG25" s="266">
        <f t="shared" si="5"/>
        <v>464387.14331807196</v>
      </c>
      <c r="AH25" s="266">
        <f t="shared" si="5"/>
        <v>467907.59863869846</v>
      </c>
      <c r="AI25" s="266">
        <f t="shared" si="5"/>
        <v>471454.68452890217</v>
      </c>
      <c r="AJ25" s="266">
        <f t="shared" si="5"/>
        <v>475028.66064943373</v>
      </c>
      <c r="AK25" s="266">
        <f t="shared" si="5"/>
        <v>478629.78382445872</v>
      </c>
      <c r="AL25" s="266">
        <f t="shared" si="5"/>
        <v>482258.17561584711</v>
      </c>
    </row>
    <row r="26" spans="2:38" x14ac:dyDescent="0.2">
      <c r="B26" s="270" t="s">
        <v>59</v>
      </c>
      <c r="C26" s="271">
        <f>SUM(D26:AL26)</f>
        <v>51842693.064206272</v>
      </c>
      <c r="D26" s="271">
        <f t="shared" ref="D26:AL26" si="6">SUM(D23:D25)</f>
        <v>0</v>
      </c>
      <c r="E26" s="271">
        <f t="shared" si="6"/>
        <v>0</v>
      </c>
      <c r="F26" s="271">
        <f t="shared" si="6"/>
        <v>0</v>
      </c>
      <c r="G26" s="271">
        <f t="shared" si="6"/>
        <v>1365051.5078660995</v>
      </c>
      <c r="H26" s="271">
        <f t="shared" si="6"/>
        <v>1384708.2681193501</v>
      </c>
      <c r="I26" s="271">
        <f t="shared" si="6"/>
        <v>1402432.5635572746</v>
      </c>
      <c r="J26" s="271">
        <f t="shared" si="6"/>
        <v>1420383.6988616213</v>
      </c>
      <c r="K26" s="271">
        <f t="shared" si="6"/>
        <v>1437428.3146114796</v>
      </c>
      <c r="L26" s="271">
        <f t="shared" si="6"/>
        <v>1454677.4278692082</v>
      </c>
      <c r="M26" s="271">
        <f t="shared" si="6"/>
        <v>1472133.5402883589</v>
      </c>
      <c r="N26" s="271">
        <f t="shared" si="6"/>
        <v>1489799.1726906076</v>
      </c>
      <c r="O26" s="271">
        <f t="shared" si="6"/>
        <v>1507676.7325747907</v>
      </c>
      <c r="P26" s="271">
        <f t="shared" si="6"/>
        <v>1525768.8594657406</v>
      </c>
      <c r="Q26" s="271">
        <f t="shared" si="6"/>
        <v>1544078.069395192</v>
      </c>
      <c r="R26" s="271">
        <f t="shared" si="6"/>
        <v>1562606.976521343</v>
      </c>
      <c r="S26" s="271">
        <f t="shared" si="6"/>
        <v>1581358.2820988148</v>
      </c>
      <c r="T26" s="271">
        <f t="shared" si="6"/>
        <v>1597133.9085804373</v>
      </c>
      <c r="U26" s="271">
        <f t="shared" si="6"/>
        <v>1610516.6143652648</v>
      </c>
      <c r="V26" s="271">
        <f t="shared" si="6"/>
        <v>1624011.4528405219</v>
      </c>
      <c r="W26" s="271">
        <f t="shared" si="6"/>
        <v>1637619.3827013671</v>
      </c>
      <c r="X26" s="271">
        <f t="shared" si="6"/>
        <v>1651341.3473362178</v>
      </c>
      <c r="Y26" s="271">
        <f t="shared" si="6"/>
        <v>1665178.2440693453</v>
      </c>
      <c r="Z26" s="271">
        <f t="shared" si="6"/>
        <v>1679131.0974387601</v>
      </c>
      <c r="AA26" s="271">
        <f t="shared" si="6"/>
        <v>1693200.867573373</v>
      </c>
      <c r="AB26" s="271">
        <f t="shared" si="6"/>
        <v>1707388.5197283104</v>
      </c>
      <c r="AC26" s="271">
        <f t="shared" si="6"/>
        <v>1721695.0924530476</v>
      </c>
      <c r="AD26" s="271">
        <f t="shared" si="6"/>
        <v>1736121.4940979779</v>
      </c>
      <c r="AE26" s="271">
        <f t="shared" si="6"/>
        <v>1749282.6655531377</v>
      </c>
      <c r="AF26" s="271">
        <f t="shared" si="6"/>
        <v>1762543.6274211109</v>
      </c>
      <c r="AG26" s="271">
        <f t="shared" si="6"/>
        <v>1775905.1311916411</v>
      </c>
      <c r="AH26" s="271">
        <f t="shared" si="6"/>
        <v>1789367.9425029457</v>
      </c>
      <c r="AI26" s="271">
        <f t="shared" si="6"/>
        <v>1802932.7568384856</v>
      </c>
      <c r="AJ26" s="271">
        <f t="shared" si="6"/>
        <v>1816600.4037320912</v>
      </c>
      <c r="AK26" s="271">
        <f t="shared" si="6"/>
        <v>1830371.71215415</v>
      </c>
      <c r="AL26" s="271">
        <f t="shared" si="6"/>
        <v>1844247.3897082061</v>
      </c>
    </row>
  </sheetData>
  <sheetProtection algorithmName="SHA-512" hashValue="/XZo7akMUTmoGQwt/KogpAjg6d9sOCoWtx9hSDTb4k5YJA4YHCtI3pik80MELDAC4qI+T/xGE3X4m8EabhkTbw==" saltValue="uOsQ1IFf5q6JknSlkSYKDw==" spinCount="100000" sheet="1" objects="1" scenarios="1"/>
  <pageMargins left="0.15312500000000001" right="0.21145833333333333" top="1" bottom="1" header="0.5" footer="0.5"/>
  <pageSetup paperSize="9" scale="75" orientation="landscape" r:id="rId1"/>
  <headerFooter alignWithMargins="0">
    <oddHeader>&amp;LPríloha 7: Štandardné tabuľky - Cesty
&amp;"Arial,Tučné"&amp;12 09 Náklady na nehodovosť</oddHeader>
    <oddFooter>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44026-15DA-4620-B16E-9B4239245D59}">
  <sheetPr>
    <tabColor theme="9" tint="0.59999389629810485"/>
  </sheetPr>
  <dimension ref="B2:AL75"/>
  <sheetViews>
    <sheetView zoomScale="82" zoomScaleNormal="82" workbookViewId="0"/>
  </sheetViews>
  <sheetFormatPr defaultColWidth="9.140625" defaultRowHeight="12.75" x14ac:dyDescent="0.2"/>
  <cols>
    <col min="1" max="1" width="2.85546875" style="390" customWidth="1"/>
    <col min="2" max="2" width="45.140625" style="390" customWidth="1"/>
    <col min="3" max="3" width="19.85546875" style="390" bestFit="1" customWidth="1"/>
    <col min="4" max="4" width="21.7109375" style="390" customWidth="1"/>
    <col min="5" max="5" width="19.5703125" style="390" customWidth="1"/>
    <col min="6" max="6" width="17.85546875" style="390" customWidth="1"/>
    <col min="7" max="7" width="25.42578125" style="390" customWidth="1"/>
    <col min="8" max="8" width="14.28515625" style="390" customWidth="1"/>
    <col min="9" max="9" width="17.85546875" style="390" customWidth="1"/>
    <col min="10" max="10" width="23.5703125" style="390" customWidth="1"/>
    <col min="11" max="11" width="21.140625" style="390" customWidth="1"/>
    <col min="12" max="12" width="13.140625" style="390" bestFit="1" customWidth="1"/>
    <col min="13" max="13" width="16.140625" style="390" customWidth="1"/>
    <col min="14" max="14" width="13.140625" style="390" bestFit="1" customWidth="1"/>
    <col min="15" max="15" width="13.85546875" style="390" customWidth="1"/>
    <col min="16" max="16" width="12.28515625" style="390" customWidth="1"/>
    <col min="17" max="17" width="12.5703125" style="390" customWidth="1"/>
    <col min="18" max="18" width="13.28515625" style="390" customWidth="1"/>
    <col min="19" max="19" width="12.28515625" style="390" customWidth="1"/>
    <col min="20" max="21" width="12.140625" style="390" customWidth="1"/>
    <col min="22" max="22" width="12.28515625" style="390" customWidth="1"/>
    <col min="23" max="23" width="12.42578125" style="390" customWidth="1"/>
    <col min="24" max="24" width="11.42578125" style="390" customWidth="1"/>
    <col min="25" max="25" width="11.85546875" style="390" customWidth="1"/>
    <col min="26" max="26" width="12.5703125" style="390" customWidth="1"/>
    <col min="27" max="27" width="12.42578125" style="390" customWidth="1"/>
    <col min="28" max="28" width="11.85546875" style="390" customWidth="1"/>
    <col min="29" max="30" width="12.42578125" style="390" customWidth="1"/>
    <col min="31" max="31" width="12.28515625" style="390" customWidth="1"/>
    <col min="32" max="32" width="12.140625" style="390" customWidth="1"/>
    <col min="33" max="33" width="12.7109375" style="390" customWidth="1"/>
    <col min="34" max="34" width="12.28515625" style="390" customWidth="1"/>
    <col min="35" max="35" width="12.140625" style="390" customWidth="1"/>
    <col min="36" max="36" width="12.7109375" style="390" customWidth="1"/>
    <col min="37" max="37" width="12.28515625" style="390" customWidth="1"/>
    <col min="38" max="38" width="12.140625" style="390" customWidth="1"/>
    <col min="39" max="16384" width="9.140625" style="390"/>
  </cols>
  <sheetData>
    <row r="2" spans="2:16" ht="28.5" customHeight="1" x14ac:dyDescent="0.3">
      <c r="B2" s="591" t="s">
        <v>719</v>
      </c>
      <c r="C2" s="591"/>
      <c r="D2" s="591"/>
      <c r="E2" s="591"/>
      <c r="F2" s="591"/>
      <c r="G2" s="591"/>
      <c r="H2" s="592"/>
      <c r="J2" s="593"/>
      <c r="K2" s="593"/>
      <c r="L2" s="593"/>
      <c r="N2" s="594"/>
    </row>
    <row r="3" spans="2:16" x14ac:dyDescent="0.2">
      <c r="D3" s="595"/>
      <c r="E3" s="596"/>
      <c r="F3" s="596"/>
      <c r="J3" s="593"/>
      <c r="K3" s="593"/>
      <c r="L3" s="593"/>
      <c r="N3" s="594"/>
    </row>
    <row r="4" spans="2:16" x14ac:dyDescent="0.2">
      <c r="D4" s="597"/>
      <c r="E4" s="476"/>
      <c r="F4" s="476"/>
    </row>
    <row r="5" spans="2:16" ht="12.75" customHeight="1" x14ac:dyDescent="0.2">
      <c r="B5" s="757" t="s">
        <v>718</v>
      </c>
      <c r="C5" s="759" t="s">
        <v>678</v>
      </c>
      <c r="D5" s="760"/>
      <c r="E5" s="477"/>
      <c r="F5" s="477"/>
    </row>
    <row r="6" spans="2:16" x14ac:dyDescent="0.2">
      <c r="B6" s="758"/>
      <c r="C6" s="761" t="s">
        <v>679</v>
      </c>
      <c r="D6" s="762"/>
      <c r="E6" s="477"/>
      <c r="F6" s="477"/>
    </row>
    <row r="7" spans="2:16" x14ac:dyDescent="0.2">
      <c r="B7" s="598" t="s">
        <v>680</v>
      </c>
      <c r="C7" s="763">
        <f>SUM(C8:D10)</f>
        <v>2247</v>
      </c>
      <c r="D7" s="764"/>
      <c r="E7" s="599"/>
      <c r="F7" s="477"/>
    </row>
    <row r="8" spans="2:16" x14ac:dyDescent="0.2">
      <c r="B8" s="600" t="s">
        <v>681</v>
      </c>
      <c r="C8" s="747">
        <v>112</v>
      </c>
      <c r="D8" s="748"/>
      <c r="E8" s="477"/>
      <c r="F8" s="681"/>
      <c r="G8" s="681"/>
    </row>
    <row r="9" spans="2:16" x14ac:dyDescent="0.2">
      <c r="B9" s="600" t="s">
        <v>682</v>
      </c>
      <c r="C9" s="747">
        <v>275</v>
      </c>
      <c r="D9" s="748"/>
      <c r="E9" s="477"/>
      <c r="F9" s="681"/>
      <c r="G9" s="681"/>
    </row>
    <row r="10" spans="2:16" x14ac:dyDescent="0.2">
      <c r="B10" s="600" t="s">
        <v>683</v>
      </c>
      <c r="C10" s="747">
        <v>1860</v>
      </c>
      <c r="D10" s="748"/>
      <c r="E10" s="477"/>
      <c r="F10" s="681"/>
      <c r="G10" s="681"/>
    </row>
    <row r="11" spans="2:16" x14ac:dyDescent="0.2">
      <c r="B11" s="601" t="s">
        <v>717</v>
      </c>
      <c r="E11" s="477"/>
      <c r="F11" s="477"/>
    </row>
    <row r="12" spans="2:16" x14ac:dyDescent="0.2">
      <c r="B12" s="603"/>
      <c r="E12" s="602"/>
      <c r="F12" s="602"/>
      <c r="M12" s="476"/>
    </row>
    <row r="13" spans="2:16" ht="37.5" customHeight="1" x14ac:dyDescent="0.2">
      <c r="C13" s="596"/>
      <c r="D13" s="476"/>
      <c r="E13" s="604"/>
      <c r="F13" s="604"/>
    </row>
    <row r="14" spans="2:16" x14ac:dyDescent="0.2">
      <c r="B14" s="596"/>
      <c r="C14" s="605" t="s">
        <v>684</v>
      </c>
    </row>
    <row r="15" spans="2:16" ht="38.25" x14ac:dyDescent="0.2">
      <c r="B15" s="606" t="s">
        <v>685</v>
      </c>
      <c r="C15" s="607" t="s">
        <v>686</v>
      </c>
      <c r="D15" s="608" t="s">
        <v>687</v>
      </c>
      <c r="E15" s="609" t="s">
        <v>688</v>
      </c>
      <c r="G15" s="610"/>
      <c r="H15" s="599"/>
      <c r="I15" s="599"/>
      <c r="J15" s="599"/>
      <c r="K15" s="599"/>
      <c r="L15" s="599"/>
      <c r="M15" s="599"/>
      <c r="N15" s="599"/>
      <c r="O15" s="599"/>
      <c r="P15" s="599"/>
    </row>
    <row r="16" spans="2:16" x14ac:dyDescent="0.2">
      <c r="B16" s="611" t="s">
        <v>681</v>
      </c>
      <c r="C16" s="612">
        <f>(C8/$D$25)*100000000</f>
        <v>26.988335926397394</v>
      </c>
      <c r="D16" s="612">
        <v>1.02</v>
      </c>
      <c r="E16" s="613">
        <f>C16*D16</f>
        <v>27.52810264492534</v>
      </c>
      <c r="G16" s="610"/>
      <c r="H16" s="599"/>
      <c r="I16" s="599"/>
      <c r="J16" s="599"/>
      <c r="K16" s="599"/>
      <c r="L16" s="599"/>
      <c r="M16" s="599"/>
      <c r="N16" s="599"/>
      <c r="O16" s="599"/>
      <c r="P16" s="599"/>
    </row>
    <row r="17" spans="2:16" x14ac:dyDescent="0.2">
      <c r="B17" s="611" t="s">
        <v>682</v>
      </c>
      <c r="C17" s="612">
        <f>(C9/$D$25)*100000000</f>
        <v>66.266003390707894</v>
      </c>
      <c r="D17" s="612">
        <v>1.5</v>
      </c>
      <c r="E17" s="613">
        <f>C17*D17</f>
        <v>99.399005086061834</v>
      </c>
      <c r="H17" s="599"/>
      <c r="I17" s="599"/>
      <c r="J17" s="599"/>
      <c r="K17" s="599"/>
      <c r="L17" s="599"/>
      <c r="M17" s="599"/>
      <c r="N17" s="599"/>
      <c r="O17" s="599"/>
      <c r="P17" s="599"/>
    </row>
    <row r="18" spans="2:16" x14ac:dyDescent="0.2">
      <c r="B18" s="611" t="s">
        <v>683</v>
      </c>
      <c r="C18" s="612">
        <f>(C10/$D$25)*100000000</f>
        <v>448.19915020624251</v>
      </c>
      <c r="D18" s="612">
        <v>3</v>
      </c>
      <c r="E18" s="613">
        <f>C18*D18</f>
        <v>1344.5974506187276</v>
      </c>
      <c r="H18" s="599"/>
      <c r="I18" s="599"/>
      <c r="J18" s="599"/>
      <c r="K18" s="599"/>
      <c r="L18" s="599"/>
      <c r="M18" s="599"/>
      <c r="N18" s="599"/>
      <c r="O18" s="599"/>
      <c r="P18" s="599"/>
    </row>
    <row r="19" spans="2:16" x14ac:dyDescent="0.2">
      <c r="B19" s="614" t="s">
        <v>689</v>
      </c>
      <c r="H19" s="599"/>
      <c r="I19" s="599"/>
      <c r="J19" s="599"/>
      <c r="K19" s="599"/>
      <c r="L19" s="599"/>
      <c r="M19" s="599"/>
      <c r="N19" s="599"/>
      <c r="O19" s="599"/>
      <c r="P19" s="599"/>
    </row>
    <row r="20" spans="2:16" x14ac:dyDescent="0.2">
      <c r="I20" s="597"/>
      <c r="J20" s="615"/>
      <c r="K20" s="596"/>
      <c r="L20" s="476"/>
      <c r="M20" s="616"/>
      <c r="N20" s="596"/>
      <c r="O20" s="476"/>
      <c r="P20" s="599"/>
    </row>
    <row r="21" spans="2:16" x14ac:dyDescent="0.2">
      <c r="I21" s="597"/>
      <c r="J21" s="617"/>
      <c r="K21" s="618"/>
      <c r="L21" s="619"/>
      <c r="M21" s="477"/>
      <c r="N21" s="477"/>
      <c r="O21" s="477"/>
      <c r="P21" s="599"/>
    </row>
    <row r="22" spans="2:16" x14ac:dyDescent="0.2">
      <c r="G22" s="620"/>
      <c r="H22" s="620"/>
      <c r="I22" s="621"/>
      <c r="J22" s="617"/>
      <c r="K22" s="618"/>
      <c r="L22" s="619"/>
      <c r="M22" s="617"/>
      <c r="N22" s="618"/>
      <c r="O22" s="599"/>
      <c r="P22" s="599"/>
    </row>
    <row r="23" spans="2:16" x14ac:dyDescent="0.2">
      <c r="B23" s="749" t="s">
        <v>690</v>
      </c>
      <c r="C23" s="750"/>
      <c r="D23" s="751"/>
      <c r="I23" s="621"/>
      <c r="J23" s="622"/>
      <c r="K23" s="623"/>
      <c r="L23" s="619"/>
      <c r="M23" s="622"/>
      <c r="N23" s="623"/>
      <c r="O23" s="599"/>
      <c r="P23" s="599"/>
    </row>
    <row r="24" spans="2:16" x14ac:dyDescent="0.2">
      <c r="B24" s="624" t="s">
        <v>691</v>
      </c>
      <c r="C24" s="625"/>
      <c r="D24" s="625">
        <f>Vstupy!D95</f>
        <v>13885244.427777776</v>
      </c>
      <c r="I24" s="621"/>
      <c r="J24" s="626"/>
      <c r="K24" s="623"/>
      <c r="L24" s="619"/>
      <c r="M24" s="626"/>
      <c r="N24" s="623"/>
      <c r="O24" s="599"/>
      <c r="P24" s="599"/>
    </row>
    <row r="25" spans="2:16" x14ac:dyDescent="0.2">
      <c r="B25" s="627" t="s">
        <v>692</v>
      </c>
      <c r="C25" s="628"/>
      <c r="D25" s="628">
        <f>D24/D30*D31</f>
        <v>414994093.39444441</v>
      </c>
      <c r="E25" s="629"/>
      <c r="I25" s="621"/>
      <c r="J25" s="623"/>
      <c r="K25" s="623"/>
      <c r="L25" s="619"/>
      <c r="M25" s="599"/>
      <c r="N25" s="599"/>
      <c r="O25" s="599"/>
      <c r="P25" s="599"/>
    </row>
    <row r="26" spans="2:16" x14ac:dyDescent="0.2">
      <c r="E26" s="630"/>
      <c r="I26" s="621"/>
      <c r="J26" s="623"/>
      <c r="K26" s="623"/>
      <c r="L26" s="619"/>
      <c r="M26" s="599"/>
      <c r="N26" s="599"/>
      <c r="O26" s="599"/>
      <c r="P26" s="599"/>
    </row>
    <row r="27" spans="2:16" x14ac:dyDescent="0.2">
      <c r="I27" s="621"/>
      <c r="J27" s="623"/>
      <c r="K27" s="623"/>
      <c r="L27" s="619"/>
      <c r="M27" s="599"/>
      <c r="N27" s="599"/>
      <c r="O27" s="599"/>
      <c r="P27" s="599"/>
    </row>
    <row r="28" spans="2:16" x14ac:dyDescent="0.2">
      <c r="I28" s="621"/>
      <c r="J28" s="631"/>
      <c r="K28" s="632"/>
      <c r="L28" s="619"/>
      <c r="M28" s="599"/>
      <c r="N28" s="599"/>
      <c r="O28" s="599"/>
      <c r="P28" s="599"/>
    </row>
    <row r="29" spans="2:16" x14ac:dyDescent="0.2">
      <c r="B29" s="752" t="s">
        <v>693</v>
      </c>
      <c r="C29" s="753"/>
      <c r="D29" s="754"/>
      <c r="I29" s="621"/>
      <c r="J29" s="631"/>
      <c r="K29" s="632"/>
      <c r="L29" s="619"/>
      <c r="M29" s="599"/>
      <c r="N29" s="599"/>
      <c r="O29" s="599"/>
      <c r="P29" s="599"/>
    </row>
    <row r="30" spans="2:16" ht="15.75" customHeight="1" x14ac:dyDescent="0.2">
      <c r="B30" s="627" t="s">
        <v>694</v>
      </c>
      <c r="C30" s="633"/>
      <c r="D30" s="600">
        <f>Vstupy!B13</f>
        <v>1.51</v>
      </c>
      <c r="I30" s="621"/>
      <c r="J30" s="617"/>
      <c r="K30" s="618"/>
      <c r="L30" s="619"/>
      <c r="M30" s="599"/>
      <c r="N30" s="599"/>
      <c r="O30" s="599"/>
      <c r="P30" s="599"/>
    </row>
    <row r="31" spans="2:16" x14ac:dyDescent="0.2">
      <c r="B31" s="627" t="s">
        <v>695</v>
      </c>
      <c r="C31" s="633"/>
      <c r="D31" s="634">
        <f>Vstupy!B6</f>
        <v>45.13</v>
      </c>
      <c r="E31" s="630"/>
      <c r="G31" s="620"/>
      <c r="H31" s="620"/>
      <c r="I31" s="620"/>
      <c r="J31" s="617"/>
      <c r="K31" s="618"/>
      <c r="L31" s="619"/>
      <c r="M31" s="599"/>
      <c r="N31" s="599"/>
      <c r="O31" s="599"/>
      <c r="P31" s="599"/>
    </row>
    <row r="32" spans="2:16" x14ac:dyDescent="0.2">
      <c r="E32" s="630"/>
      <c r="G32" s="620"/>
      <c r="H32" s="620"/>
      <c r="I32" s="620"/>
      <c r="J32" s="617"/>
      <c r="K32" s="618"/>
      <c r="L32" s="619"/>
      <c r="M32" s="635"/>
      <c r="N32" s="599"/>
      <c r="O32" s="599"/>
      <c r="P32" s="599"/>
    </row>
    <row r="33" spans="2:38" x14ac:dyDescent="0.2">
      <c r="E33" s="630"/>
      <c r="I33" s="620"/>
      <c r="J33" s="622"/>
      <c r="K33" s="636"/>
      <c r="L33" s="619"/>
      <c r="M33" s="635"/>
      <c r="N33" s="599"/>
      <c r="O33" s="599"/>
      <c r="P33" s="599"/>
    </row>
    <row r="34" spans="2:38" x14ac:dyDescent="0.2">
      <c r="B34" s="476"/>
      <c r="C34" s="476"/>
      <c r="D34" s="476"/>
      <c r="E34" s="630"/>
      <c r="F34" s="637"/>
      <c r="I34" s="620"/>
      <c r="M34" s="635"/>
      <c r="N34" s="599"/>
      <c r="O34" s="599"/>
      <c r="P34" s="599"/>
    </row>
    <row r="35" spans="2:38" x14ac:dyDescent="0.2">
      <c r="B35" s="596"/>
      <c r="C35" s="596"/>
      <c r="D35" s="596"/>
      <c r="E35" s="637"/>
      <c r="F35" s="637"/>
      <c r="I35" s="620"/>
      <c r="M35" s="635"/>
      <c r="N35" s="599"/>
      <c r="O35" s="599"/>
      <c r="P35" s="599"/>
    </row>
    <row r="36" spans="2:38" x14ac:dyDescent="0.2">
      <c r="B36" s="637"/>
      <c r="C36" s="637"/>
      <c r="D36" s="637"/>
      <c r="E36" s="637"/>
      <c r="F36" s="637"/>
      <c r="I36" s="620"/>
      <c r="M36" s="635"/>
      <c r="N36" s="599"/>
      <c r="O36" s="599"/>
      <c r="P36" s="599"/>
    </row>
    <row r="37" spans="2:38" x14ac:dyDescent="0.2">
      <c r="B37" s="755" t="s">
        <v>696</v>
      </c>
      <c r="C37" s="756"/>
      <c r="D37" s="595"/>
      <c r="E37" s="637"/>
      <c r="F37" s="637"/>
      <c r="I37" s="620"/>
      <c r="M37" s="635"/>
      <c r="N37" s="599"/>
      <c r="O37" s="599"/>
      <c r="P37" s="599"/>
    </row>
    <row r="38" spans="2:38" x14ac:dyDescent="0.2">
      <c r="B38" s="611" t="s">
        <v>697</v>
      </c>
      <c r="C38" s="638">
        <f>$D$25/E16</f>
        <v>15075288.651284739</v>
      </c>
      <c r="D38" s="596"/>
      <c r="E38" s="637"/>
      <c r="F38" s="637"/>
      <c r="I38" s="620"/>
      <c r="M38" s="635"/>
      <c r="N38" s="599"/>
      <c r="O38" s="599"/>
      <c r="P38" s="599"/>
    </row>
    <row r="39" spans="2:38" x14ac:dyDescent="0.2">
      <c r="B39" s="611" t="s">
        <v>698</v>
      </c>
      <c r="C39" s="638">
        <f>$D$25/E17</f>
        <v>4175032.6679339842</v>
      </c>
      <c r="D39" s="596"/>
      <c r="E39" s="637"/>
      <c r="F39" s="637"/>
      <c r="I39" s="596"/>
      <c r="M39" s="639"/>
    </row>
    <row r="40" spans="2:38" x14ac:dyDescent="0.2">
      <c r="B40" s="611" t="s">
        <v>699</v>
      </c>
      <c r="C40" s="638">
        <f>$D$25/E18</f>
        <v>308638.16765641008</v>
      </c>
      <c r="D40" s="596"/>
      <c r="E40" s="637"/>
      <c r="F40" s="637"/>
      <c r="I40" s="596"/>
      <c r="J40" s="596"/>
      <c r="K40" s="596"/>
      <c r="L40" s="476"/>
      <c r="M40" s="476"/>
    </row>
    <row r="41" spans="2:38" x14ac:dyDescent="0.2">
      <c r="B41" s="637"/>
      <c r="C41" s="637"/>
      <c r="D41" s="637"/>
      <c r="E41" s="637"/>
      <c r="F41" s="637"/>
      <c r="I41" s="640"/>
      <c r="J41" s="476"/>
      <c r="K41" s="476"/>
      <c r="L41" s="476"/>
      <c r="M41" s="476"/>
    </row>
    <row r="42" spans="2:38" x14ac:dyDescent="0.2">
      <c r="B42" s="637"/>
      <c r="C42" s="637"/>
      <c r="D42" s="637"/>
      <c r="E42" s="637"/>
      <c r="F42" s="637"/>
      <c r="G42" s="637"/>
      <c r="H42" s="476"/>
      <c r="I42" s="640"/>
      <c r="J42" s="640"/>
      <c r="K42" s="476"/>
      <c r="L42" s="476"/>
      <c r="M42" s="476"/>
    </row>
    <row r="43" spans="2:38" x14ac:dyDescent="0.2">
      <c r="C43" s="641"/>
      <c r="D43" s="388"/>
    </row>
    <row r="45" spans="2:38" x14ac:dyDescent="0.2">
      <c r="B45" s="642" t="s">
        <v>700</v>
      </c>
      <c r="C45" s="643"/>
      <c r="D45" s="644" t="s">
        <v>10</v>
      </c>
      <c r="E45" s="644"/>
      <c r="F45" s="644"/>
      <c r="G45" s="644"/>
      <c r="H45" s="644"/>
      <c r="I45" s="644"/>
      <c r="J45" s="644"/>
      <c r="K45" s="644"/>
      <c r="L45" s="644"/>
      <c r="M45" s="644"/>
      <c r="N45" s="644"/>
      <c r="O45" s="644"/>
      <c r="P45" s="644"/>
      <c r="Q45" s="644"/>
      <c r="R45" s="644"/>
      <c r="S45" s="644"/>
      <c r="T45" s="644"/>
      <c r="U45" s="644"/>
      <c r="V45" s="644"/>
      <c r="W45" s="644"/>
      <c r="X45" s="644"/>
      <c r="Y45" s="644"/>
      <c r="Z45" s="644"/>
      <c r="AA45" s="644"/>
      <c r="AB45" s="644"/>
      <c r="AC45" s="644"/>
      <c r="AD45" s="644"/>
      <c r="AE45" s="644"/>
      <c r="AF45" s="644"/>
      <c r="AG45" s="644"/>
      <c r="AH45" s="644"/>
      <c r="AI45" s="644"/>
      <c r="AJ45" s="644"/>
      <c r="AK45" s="644"/>
      <c r="AL45" s="644"/>
    </row>
    <row r="46" spans="2:38" x14ac:dyDescent="0.2">
      <c r="B46" s="645"/>
      <c r="C46" s="646"/>
      <c r="D46" s="644">
        <v>1</v>
      </c>
      <c r="E46" s="644">
        <v>2</v>
      </c>
      <c r="F46" s="644">
        <v>3</v>
      </c>
      <c r="G46" s="644">
        <v>4</v>
      </c>
      <c r="H46" s="644">
        <v>5</v>
      </c>
      <c r="I46" s="644">
        <v>6</v>
      </c>
      <c r="J46" s="644">
        <v>7</v>
      </c>
      <c r="K46" s="644">
        <v>8</v>
      </c>
      <c r="L46" s="644">
        <v>9</v>
      </c>
      <c r="M46" s="644">
        <v>10</v>
      </c>
      <c r="N46" s="644">
        <v>11</v>
      </c>
      <c r="O46" s="644">
        <v>12</v>
      </c>
      <c r="P46" s="644">
        <v>13</v>
      </c>
      <c r="Q46" s="644">
        <v>14</v>
      </c>
      <c r="R46" s="644">
        <v>15</v>
      </c>
      <c r="S46" s="644">
        <v>16</v>
      </c>
      <c r="T46" s="644">
        <v>17</v>
      </c>
      <c r="U46" s="644">
        <v>18</v>
      </c>
      <c r="V46" s="644">
        <v>19</v>
      </c>
      <c r="W46" s="644">
        <v>20</v>
      </c>
      <c r="X46" s="644">
        <v>21</v>
      </c>
      <c r="Y46" s="644">
        <v>22</v>
      </c>
      <c r="Z46" s="644">
        <v>23</v>
      </c>
      <c r="AA46" s="644">
        <v>24</v>
      </c>
      <c r="AB46" s="644">
        <v>25</v>
      </c>
      <c r="AC46" s="644">
        <v>26</v>
      </c>
      <c r="AD46" s="644">
        <v>27</v>
      </c>
      <c r="AE46" s="644">
        <v>28</v>
      </c>
      <c r="AF46" s="644">
        <v>29</v>
      </c>
      <c r="AG46" s="644">
        <v>30</v>
      </c>
      <c r="AH46" s="644">
        <v>31</v>
      </c>
      <c r="AI46" s="644">
        <v>32</v>
      </c>
      <c r="AJ46" s="644">
        <v>33</v>
      </c>
      <c r="AK46" s="644">
        <v>34</v>
      </c>
      <c r="AL46" s="644">
        <v>35</v>
      </c>
    </row>
    <row r="47" spans="2:38" x14ac:dyDescent="0.2">
      <c r="B47" s="647" t="s">
        <v>33</v>
      </c>
      <c r="C47" s="647" t="s">
        <v>9</v>
      </c>
      <c r="D47" s="648">
        <v>2025</v>
      </c>
      <c r="E47" s="648">
        <f>$D$47+D46</f>
        <v>2026</v>
      </c>
      <c r="F47" s="648">
        <f t="shared" ref="F47:AG47" si="0">$D$47+E46</f>
        <v>2027</v>
      </c>
      <c r="G47" s="648">
        <f t="shared" si="0"/>
        <v>2028</v>
      </c>
      <c r="H47" s="648">
        <f t="shared" si="0"/>
        <v>2029</v>
      </c>
      <c r="I47" s="648">
        <f t="shared" si="0"/>
        <v>2030</v>
      </c>
      <c r="J47" s="648">
        <f t="shared" si="0"/>
        <v>2031</v>
      </c>
      <c r="K47" s="648">
        <f t="shared" si="0"/>
        <v>2032</v>
      </c>
      <c r="L47" s="648">
        <f t="shared" si="0"/>
        <v>2033</v>
      </c>
      <c r="M47" s="648">
        <f t="shared" si="0"/>
        <v>2034</v>
      </c>
      <c r="N47" s="648">
        <f t="shared" si="0"/>
        <v>2035</v>
      </c>
      <c r="O47" s="648">
        <f t="shared" si="0"/>
        <v>2036</v>
      </c>
      <c r="P47" s="648">
        <f t="shared" si="0"/>
        <v>2037</v>
      </c>
      <c r="Q47" s="648">
        <f t="shared" si="0"/>
        <v>2038</v>
      </c>
      <c r="R47" s="648">
        <f t="shared" si="0"/>
        <v>2039</v>
      </c>
      <c r="S47" s="648">
        <f t="shared" si="0"/>
        <v>2040</v>
      </c>
      <c r="T47" s="648">
        <f t="shared" si="0"/>
        <v>2041</v>
      </c>
      <c r="U47" s="648">
        <f t="shared" si="0"/>
        <v>2042</v>
      </c>
      <c r="V47" s="648">
        <f t="shared" si="0"/>
        <v>2043</v>
      </c>
      <c r="W47" s="648">
        <f t="shared" si="0"/>
        <v>2044</v>
      </c>
      <c r="X47" s="648">
        <f t="shared" si="0"/>
        <v>2045</v>
      </c>
      <c r="Y47" s="648">
        <f t="shared" si="0"/>
        <v>2046</v>
      </c>
      <c r="Z47" s="648">
        <f t="shared" si="0"/>
        <v>2047</v>
      </c>
      <c r="AA47" s="648">
        <f t="shared" si="0"/>
        <v>2048</v>
      </c>
      <c r="AB47" s="648">
        <f t="shared" si="0"/>
        <v>2049</v>
      </c>
      <c r="AC47" s="648">
        <f t="shared" si="0"/>
        <v>2050</v>
      </c>
      <c r="AD47" s="648">
        <f t="shared" si="0"/>
        <v>2051</v>
      </c>
      <c r="AE47" s="648">
        <f t="shared" si="0"/>
        <v>2052</v>
      </c>
      <c r="AF47" s="648">
        <f t="shared" si="0"/>
        <v>2053</v>
      </c>
      <c r="AG47" s="648">
        <f t="shared" si="0"/>
        <v>2054</v>
      </c>
      <c r="AH47" s="648">
        <f t="shared" ref="AH47" si="1">$D$47+AG46</f>
        <v>2055</v>
      </c>
      <c r="AI47" s="648">
        <f t="shared" ref="AI47" si="2">$D$47+AH46</f>
        <v>2056</v>
      </c>
      <c r="AJ47" s="648">
        <f t="shared" ref="AJ47" si="3">$D$47+AI46</f>
        <v>2057</v>
      </c>
      <c r="AK47" s="648">
        <f t="shared" ref="AK47" si="4">$D$47+AJ46</f>
        <v>2058</v>
      </c>
      <c r="AL47" s="648">
        <f t="shared" ref="AL47" si="5">$D$47+AK46</f>
        <v>2059</v>
      </c>
    </row>
    <row r="48" spans="2:38" x14ac:dyDescent="0.2">
      <c r="B48" s="649" t="s">
        <v>701</v>
      </c>
      <c r="C48" s="649">
        <f>SUM(D48:AL48)</f>
        <v>667843144.46352208</v>
      </c>
      <c r="D48" s="650">
        <f>Vstupy!D95*1.017</f>
        <v>14121293.583049998</v>
      </c>
      <c r="E48" s="650">
        <f>D48*1.017</f>
        <v>14361355.573961847</v>
      </c>
      <c r="F48" s="650">
        <f>E48*1.017</f>
        <v>14605498.618719196</v>
      </c>
      <c r="G48" s="650">
        <f t="shared" ref="G48:AG48" si="6">F48*1.017</f>
        <v>14853792.095237421</v>
      </c>
      <c r="H48" s="650">
        <f t="shared" si="6"/>
        <v>15106306.560856456</v>
      </c>
      <c r="I48" s="650">
        <f t="shared" si="6"/>
        <v>15363113.772391014</v>
      </c>
      <c r="J48" s="650">
        <f t="shared" si="6"/>
        <v>15624286.70652166</v>
      </c>
      <c r="K48" s="650">
        <f t="shared" si="6"/>
        <v>15889899.580532527</v>
      </c>
      <c r="L48" s="650">
        <f t="shared" si="6"/>
        <v>16160027.873401579</v>
      </c>
      <c r="M48" s="650">
        <f t="shared" si="6"/>
        <v>16434748.347249404</v>
      </c>
      <c r="N48" s="650">
        <f t="shared" si="6"/>
        <v>16714139.069152642</v>
      </c>
      <c r="O48" s="650">
        <f t="shared" si="6"/>
        <v>16998279.433328234</v>
      </c>
      <c r="P48" s="650">
        <f t="shared" si="6"/>
        <v>17287250.183694813</v>
      </c>
      <c r="Q48" s="650">
        <f t="shared" si="6"/>
        <v>17581133.436817624</v>
      </c>
      <c r="R48" s="650">
        <f t="shared" si="6"/>
        <v>17880012.70524352</v>
      </c>
      <c r="S48" s="650">
        <f t="shared" si="6"/>
        <v>18183972.921232659</v>
      </c>
      <c r="T48" s="650">
        <f t="shared" si="6"/>
        <v>18493100.460893612</v>
      </c>
      <c r="U48" s="650">
        <f t="shared" si="6"/>
        <v>18807483.168728802</v>
      </c>
      <c r="V48" s="650">
        <f t="shared" si="6"/>
        <v>19127210.382597189</v>
      </c>
      <c r="W48" s="650">
        <f t="shared" si="6"/>
        <v>19452372.959101338</v>
      </c>
      <c r="X48" s="650">
        <f t="shared" si="6"/>
        <v>19783063.299406059</v>
      </c>
      <c r="Y48" s="650">
        <f t="shared" si="6"/>
        <v>20119375.375495959</v>
      </c>
      <c r="Z48" s="650">
        <f t="shared" si="6"/>
        <v>20461404.756879389</v>
      </c>
      <c r="AA48" s="650">
        <f t="shared" si="6"/>
        <v>20809248.637746338</v>
      </c>
      <c r="AB48" s="650">
        <f t="shared" si="6"/>
        <v>21163005.864588022</v>
      </c>
      <c r="AC48" s="650">
        <f t="shared" si="6"/>
        <v>21522776.964286018</v>
      </c>
      <c r="AD48" s="650">
        <f t="shared" si="6"/>
        <v>21888664.172678877</v>
      </c>
      <c r="AE48" s="650">
        <f t="shared" si="6"/>
        <v>22260771.463614415</v>
      </c>
      <c r="AF48" s="650">
        <f t="shared" si="6"/>
        <v>22639204.57849586</v>
      </c>
      <c r="AG48" s="650">
        <f t="shared" si="6"/>
        <v>23024071.056330286</v>
      </c>
      <c r="AH48" s="650">
        <f t="shared" ref="AH48:AL48" si="7">AG48*1.017</f>
        <v>23415480.2642879</v>
      </c>
      <c r="AI48" s="650">
        <f t="shared" si="7"/>
        <v>23813543.42878079</v>
      </c>
      <c r="AJ48" s="650">
        <f t="shared" si="7"/>
        <v>24218373.667070061</v>
      </c>
      <c r="AK48" s="650">
        <f t="shared" si="7"/>
        <v>24630086.019410249</v>
      </c>
      <c r="AL48" s="650">
        <f t="shared" si="7"/>
        <v>25048797.481740221</v>
      </c>
    </row>
    <row r="49" spans="2:38" x14ac:dyDescent="0.2">
      <c r="C49" s="649"/>
      <c r="D49" s="652"/>
      <c r="E49" s="652"/>
      <c r="F49" s="652"/>
      <c r="G49" s="652"/>
      <c r="H49" s="652"/>
      <c r="I49" s="652"/>
      <c r="J49" s="652"/>
      <c r="K49" s="652"/>
      <c r="L49" s="652"/>
      <c r="M49" s="652"/>
      <c r="N49" s="652"/>
      <c r="O49" s="652"/>
      <c r="P49" s="652"/>
      <c r="Q49" s="652"/>
      <c r="R49" s="652"/>
      <c r="S49" s="652"/>
      <c r="T49" s="652"/>
      <c r="U49" s="652"/>
      <c r="V49" s="652"/>
      <c r="W49" s="652"/>
      <c r="X49" s="652"/>
      <c r="Y49" s="652"/>
      <c r="Z49" s="652"/>
      <c r="AA49" s="652"/>
      <c r="AB49" s="652"/>
      <c r="AC49" s="652"/>
      <c r="AD49" s="652"/>
      <c r="AE49" s="652"/>
      <c r="AF49" s="652"/>
      <c r="AG49" s="652"/>
      <c r="AH49" s="652"/>
      <c r="AI49" s="652"/>
      <c r="AJ49" s="652"/>
      <c r="AK49" s="652"/>
      <c r="AL49" s="652"/>
    </row>
    <row r="50" spans="2:38" x14ac:dyDescent="0.2">
      <c r="B50" s="644" t="s">
        <v>702</v>
      </c>
      <c r="C50" s="649">
        <f t="shared" ref="C50:C54" si="8">SUM(D50:AL50)</f>
        <v>19960106695.125004</v>
      </c>
      <c r="D50" s="653">
        <f t="shared" ref="D50:AG50" si="9">D48/$D$30*$D$31</f>
        <v>422048992.9821499</v>
      </c>
      <c r="E50" s="653">
        <f t="shared" si="9"/>
        <v>429223825.86284649</v>
      </c>
      <c r="F50" s="653">
        <f t="shared" si="9"/>
        <v>436520630.90251482</v>
      </c>
      <c r="G50" s="653">
        <f t="shared" si="9"/>
        <v>443941481.62785745</v>
      </c>
      <c r="H50" s="653">
        <f t="shared" si="9"/>
        <v>451488486.81553108</v>
      </c>
      <c r="I50" s="653">
        <f t="shared" si="9"/>
        <v>459163791.09139502</v>
      </c>
      <c r="J50" s="653">
        <f t="shared" si="9"/>
        <v>466969575.53994876</v>
      </c>
      <c r="K50" s="653">
        <f t="shared" si="9"/>
        <v>474908058.32412785</v>
      </c>
      <c r="L50" s="653">
        <f t="shared" si="9"/>
        <v>482981495.31563795</v>
      </c>
      <c r="M50" s="653">
        <f t="shared" si="9"/>
        <v>491192180.7360037</v>
      </c>
      <c r="N50" s="653">
        <f t="shared" si="9"/>
        <v>499542447.80851573</v>
      </c>
      <c r="O50" s="653">
        <f t="shared" si="9"/>
        <v>508034669.42126042</v>
      </c>
      <c r="P50" s="653">
        <f t="shared" si="9"/>
        <v>516671258.80142182</v>
      </c>
      <c r="Q50" s="653">
        <f t="shared" si="9"/>
        <v>525454670.20104599</v>
      </c>
      <c r="R50" s="653">
        <f t="shared" si="9"/>
        <v>534387399.59446365</v>
      </c>
      <c r="S50" s="653">
        <f t="shared" si="9"/>
        <v>543471985.38756955</v>
      </c>
      <c r="T50" s="653">
        <f t="shared" si="9"/>
        <v>552711009.13915813</v>
      </c>
      <c r="U50" s="653">
        <f t="shared" si="9"/>
        <v>562107096.29452384</v>
      </c>
      <c r="V50" s="653">
        <f t="shared" si="9"/>
        <v>571662916.93153059</v>
      </c>
      <c r="W50" s="653">
        <f t="shared" si="9"/>
        <v>581381186.5193665</v>
      </c>
      <c r="X50" s="653">
        <f t="shared" si="9"/>
        <v>591264666.69019568</v>
      </c>
      <c r="Y50" s="653">
        <f t="shared" si="9"/>
        <v>601316166.023929</v>
      </c>
      <c r="Z50" s="653">
        <f t="shared" si="9"/>
        <v>611538540.84633565</v>
      </c>
      <c r="AA50" s="653">
        <f t="shared" si="9"/>
        <v>621934696.04072332</v>
      </c>
      <c r="AB50" s="653">
        <f t="shared" si="9"/>
        <v>632507585.87341559</v>
      </c>
      <c r="AC50" s="653">
        <f t="shared" si="9"/>
        <v>643260214.83326364</v>
      </c>
      <c r="AD50" s="653">
        <f t="shared" si="9"/>
        <v>654195638.48542893</v>
      </c>
      <c r="AE50" s="653">
        <f t="shared" si="9"/>
        <v>665316964.33968127</v>
      </c>
      <c r="AF50" s="653">
        <f t="shared" si="9"/>
        <v>676627352.73345578</v>
      </c>
      <c r="AG50" s="653">
        <f t="shared" si="9"/>
        <v>688130017.72992444</v>
      </c>
      <c r="AH50" s="653">
        <f t="shared" ref="AH50:AL50" si="10">AH48/$D$30*$D$31</f>
        <v>699828228.03133309</v>
      </c>
      <c r="AI50" s="653">
        <f t="shared" si="10"/>
        <v>711725307.90786564</v>
      </c>
      <c r="AJ50" s="653">
        <f t="shared" si="10"/>
        <v>723824638.14229929</v>
      </c>
      <c r="AK50" s="653">
        <f t="shared" si="10"/>
        <v>736129656.99071825</v>
      </c>
      <c r="AL50" s="653">
        <f t="shared" si="10"/>
        <v>748643861.15956044</v>
      </c>
    </row>
    <row r="51" spans="2:38" x14ac:dyDescent="0.2">
      <c r="B51" s="654" t="s">
        <v>703</v>
      </c>
      <c r="C51" s="649">
        <f t="shared" si="8"/>
        <v>3772772491.1034389</v>
      </c>
      <c r="D51" s="655">
        <f>D50/$C$38/2*Parametre!D215</f>
        <v>62845772.595234968</v>
      </c>
      <c r="E51" s="655">
        <f>E50/$C$38/2*Parametre!E215</f>
        <v>65345827.646241926</v>
      </c>
      <c r="F51" s="655">
        <f>F50/$C$38/2*Parametre!F215</f>
        <v>67573179.440602422</v>
      </c>
      <c r="G51" s="655">
        <f>G50/$C$38/2*Parametre!G215</f>
        <v>69656541.707230017</v>
      </c>
      <c r="H51" s="655">
        <f>H50/$C$38/2*Parametre!H215</f>
        <v>71860808.965890408</v>
      </c>
      <c r="I51" s="655">
        <f>I50/$C$38/2*Parametre!I215</f>
        <v>74017898.006303698</v>
      </c>
      <c r="J51" s="655">
        <f>J50/$C$38/2*Parametre!J215</f>
        <v>76239737.67339243</v>
      </c>
      <c r="K51" s="655">
        <f>K50/$C$38/2*Parametre!K215</f>
        <v>78466242.984377101</v>
      </c>
      <c r="L51" s="655">
        <f>L50/$C$38/2*Parametre!L215</f>
        <v>80757771.085542977</v>
      </c>
      <c r="M51" s="655">
        <f>M50/$C$38/2*Parametre!M215</f>
        <v>83116220.963901699</v>
      </c>
      <c r="N51" s="655">
        <f>N50/$C$38/2*Parametre!N215</f>
        <v>85543547.032552168</v>
      </c>
      <c r="O51" s="655">
        <f>O50/$C$38/2*Parametre!O215</f>
        <v>88041760.726845086</v>
      </c>
      <c r="P51" s="655">
        <f>P50/$C$38/2*Parametre!P215</f>
        <v>90612932.316708222</v>
      </c>
      <c r="Q51" s="655">
        <f>Q50/$C$38/2*Parametre!Q215</f>
        <v>93259192.433911815</v>
      </c>
      <c r="R51" s="655">
        <f>R50/$C$38/2*Parametre!R215</f>
        <v>95982733.806803659</v>
      </c>
      <c r="S51" s="655">
        <f>S50/$C$38/2*Parametre!S215</f>
        <v>98785813.584364831</v>
      </c>
      <c r="T51" s="655">
        <f>T50/$C$38/2*Parametre!T215</f>
        <v>101670754.48208278</v>
      </c>
      <c r="U51" s="655">
        <f>U50/$C$38/2*Parametre!U215</f>
        <v>104474508.55785665</v>
      </c>
      <c r="V51" s="655">
        <f>V50/$C$38/2*Parametre!V215</f>
        <v>107355581.11795639</v>
      </c>
      <c r="W51" s="655">
        <f>W50/$C$38/2*Parametre!W215</f>
        <v>110316104.57489622</v>
      </c>
      <c r="X51" s="655">
        <f>X50/$C$38/2*Parametre!X215</f>
        <v>113358269.66713719</v>
      </c>
      <c r="Y51" s="655">
        <f>Y50/$C$38/2*Parametre!Y215</f>
        <v>116484328.02346237</v>
      </c>
      <c r="Z51" s="655">
        <f>Z50/$C$38/2*Parametre!Z215</f>
        <v>119696593.04471859</v>
      </c>
      <c r="AA51" s="655">
        <f>AA50/$C$38/2*Parametre!AA215</f>
        <v>122997441.98694094</v>
      </c>
      <c r="AB51" s="655">
        <f>AB50/$C$38/2*Parametre!AB215</f>
        <v>126389317.9209839</v>
      </c>
      <c r="AC51" s="655">
        <f>AC50/$C$38/2*Parametre!AC215</f>
        <v>129874730.90729189</v>
      </c>
      <c r="AD51" s="655">
        <f>AD50/$C$38/2*Parametre!AD215</f>
        <v>133456260.45652917</v>
      </c>
      <c r="AE51" s="655">
        <f>AE50/$C$38/2*Parametre!AE215</f>
        <v>137027977.14488411</v>
      </c>
      <c r="AF51" s="655">
        <f>AF50/$C$38/2*Parametre!AF215</f>
        <v>140695284.36528549</v>
      </c>
      <c r="AG51" s="655">
        <f>AG50/$C$38/2*Parametre!AG215</f>
        <v>144460740.38483849</v>
      </c>
      <c r="AH51" s="655">
        <f>AH50/$C$38/2*Parametre!AH215</f>
        <v>148326972.11647132</v>
      </c>
      <c r="AI51" s="655">
        <f>AI50/$C$38/2*Parametre!AI215</f>
        <v>152296676.482609</v>
      </c>
      <c r="AJ51" s="655">
        <f>AJ50/$C$38/2*Parametre!AJ215</f>
        <v>156372622.97953707</v>
      </c>
      <c r="AK51" s="655">
        <f>AK50/$C$38/2*Parametre!AK215</f>
        <v>160557654.65387395</v>
      </c>
      <c r="AL51" s="655">
        <f>AL50/$C$38/2*Parametre!AL215</f>
        <v>164854691.26617986</v>
      </c>
    </row>
    <row r="52" spans="2:38" x14ac:dyDescent="0.2">
      <c r="B52" s="654" t="s">
        <v>682</v>
      </c>
      <c r="C52" s="649">
        <f t="shared" si="8"/>
        <v>1935895887.8362479</v>
      </c>
      <c r="D52" s="655">
        <f>D50/$C$39/2*Parametre!D216</f>
        <v>32247603.948422614</v>
      </c>
      <c r="E52" s="655">
        <f>E50/$C$39/2*Parametre!E216</f>
        <v>33530439.209510263</v>
      </c>
      <c r="F52" s="655">
        <f>F50/$C$39/2*Parametre!F216</f>
        <v>34673344.483315028</v>
      </c>
      <c r="G52" s="655">
        <f>G50/$C$39/2*Parametre!G216</f>
        <v>35742365.075473532</v>
      </c>
      <c r="H52" s="655">
        <f>H50/$C$39/2*Parametre!H216</f>
        <v>36873425.042130016</v>
      </c>
      <c r="I52" s="655">
        <f>I50/$C$39/2*Parametre!I216</f>
        <v>37980276.589709066</v>
      </c>
      <c r="J52" s="655">
        <f>J50/$C$39/2*Parametre!J216</f>
        <v>39120353.065569326</v>
      </c>
      <c r="K52" s="655">
        <f>K50/$C$39/2*Parametre!K216</f>
        <v>40262824.099920228</v>
      </c>
      <c r="L52" s="655">
        <f>L50/$C$39/2*Parametre!L216</f>
        <v>41438659.756067902</v>
      </c>
      <c r="M52" s="655">
        <f>M50/$C$39/2*Parametre!M216</f>
        <v>42648834.48382201</v>
      </c>
      <c r="N52" s="655">
        <f>N50/$C$39/2*Parametre!N216</f>
        <v>43894350.924044587</v>
      </c>
      <c r="O52" s="655">
        <f>O50/$C$39/2*Parametre!O216</f>
        <v>45176241.314797103</v>
      </c>
      <c r="P52" s="655">
        <f>P50/$C$39/2*Parametre!P216</f>
        <v>46495568.362681486</v>
      </c>
      <c r="Q52" s="655">
        <f>Q50/$C$39/2*Parametre!Q216</f>
        <v>47853424.880734161</v>
      </c>
      <c r="R52" s="655">
        <f>R50/$C$39/2*Parametre!R216</f>
        <v>49250936.523664117</v>
      </c>
      <c r="S52" s="655">
        <f>S50/$C$39/2*Parametre!S216</f>
        <v>50689260.834849626</v>
      </c>
      <c r="T52" s="655">
        <f>T50/$C$39/2*Parametre!T216</f>
        <v>52169590.095644563</v>
      </c>
      <c r="U52" s="655">
        <f>U50/$C$39/2*Parametre!U216</f>
        <v>53608260.735913835</v>
      </c>
      <c r="V52" s="655">
        <f>V50/$C$39/2*Parametre!V216</f>
        <v>55086604.874888644</v>
      </c>
      <c r="W52" s="655">
        <f>W50/$C$39/2*Parametre!W216</f>
        <v>56605717.506104156</v>
      </c>
      <c r="X52" s="655">
        <f>X50/$C$39/2*Parametre!X216</f>
        <v>58166721.788116544</v>
      </c>
      <c r="Y52" s="655">
        <f>Y50/$C$39/2*Parametre!Y216</f>
        <v>59770774.017235644</v>
      </c>
      <c r="Z52" s="655">
        <f>Z50/$C$39/2*Parametre!Z216</f>
        <v>61419060.998135231</v>
      </c>
      <c r="AA52" s="655">
        <f>AA50/$C$39/2*Parametre!AA216</f>
        <v>63112802.286982842</v>
      </c>
      <c r="AB52" s="655">
        <f>AB50/$C$39/2*Parametre!AB216</f>
        <v>64853251.088885568</v>
      </c>
      <c r="AC52" s="655">
        <f>AC50/$C$39/2*Parametre!AC216</f>
        <v>66641695.949879721</v>
      </c>
      <c r="AD52" s="655">
        <f>AD50/$C$39/2*Parametre!AD216</f>
        <v>68479460.985388562</v>
      </c>
      <c r="AE52" s="655">
        <f>AE50/$C$39/2*Parametre!AE216</f>
        <v>70312190.380896315</v>
      </c>
      <c r="AF52" s="655">
        <f>AF50/$C$39/2*Parametre!AF216</f>
        <v>72193969.996419922</v>
      </c>
      <c r="AG52" s="655">
        <f>AG50/$C$39/2*Parametre!AG216</f>
        <v>74126111.488089263</v>
      </c>
      <c r="AH52" s="655">
        <f>AH50/$C$39/2*Parametre!AH216</f>
        <v>76109963.463227823</v>
      </c>
      <c r="AI52" s="655">
        <f>AI50/$C$39/2*Parametre!AI216</f>
        <v>78146910.015152365</v>
      </c>
      <c r="AJ52" s="655">
        <f>AJ50/$C$39/2*Parametre!AJ216</f>
        <v>80238371.630278915</v>
      </c>
      <c r="AK52" s="655">
        <f>AK50/$C$39/2*Parametre!AK216</f>
        <v>82385806.999261171</v>
      </c>
      <c r="AL52" s="655">
        <f>AL50/$C$39/2*Parametre!AL216</f>
        <v>84590714.941036031</v>
      </c>
    </row>
    <row r="53" spans="2:38" x14ac:dyDescent="0.2">
      <c r="B53" s="654" t="s">
        <v>683</v>
      </c>
      <c r="C53" s="649">
        <f t="shared" si="8"/>
        <v>2021346567.2735362</v>
      </c>
      <c r="D53" s="655">
        <f>D50/$C$40/2*Parametre!D217</f>
        <v>33671016.675431706</v>
      </c>
      <c r="E53" s="655">
        <f>E50/$C$40/2*Parametre!E217</f>
        <v>35010479.748515747</v>
      </c>
      <c r="F53" s="655">
        <f>F50/$C$40/2*Parametre!F217</f>
        <v>36203833.607630134</v>
      </c>
      <c r="G53" s="655">
        <f>G50/$C$40/2*Parametre!G217</f>
        <v>37320037.652136877</v>
      </c>
      <c r="H53" s="655">
        <f>H50/$C$40/2*Parametre!H217</f>
        <v>38501024.851013713</v>
      </c>
      <c r="I53" s="655">
        <f>I50/$C$40/2*Parametre!I217</f>
        <v>39656736.570853084</v>
      </c>
      <c r="J53" s="655">
        <f>J50/$C$40/2*Parametre!J217</f>
        <v>40847136.72337433</v>
      </c>
      <c r="K53" s="655">
        <f>K50/$C$40/2*Parametre!K217</f>
        <v>42040037.51979968</v>
      </c>
      <c r="L53" s="655">
        <f>L50/$C$40/2*Parametre!L217</f>
        <v>43267771.677066781</v>
      </c>
      <c r="M53" s="655">
        <f>M50/$C$40/2*Parametre!M217</f>
        <v>44531361.707685784</v>
      </c>
      <c r="N53" s="655">
        <f>N50/$C$40/2*Parametre!N217</f>
        <v>45831859.285262525</v>
      </c>
      <c r="O53" s="655">
        <f>O50/$C$40/2*Parametre!O217</f>
        <v>47170329.578803003</v>
      </c>
      <c r="P53" s="655">
        <f>P50/$C$40/2*Parametre!P217</f>
        <v>48547892.519955866</v>
      </c>
      <c r="Q53" s="655">
        <f>Q50/$C$40/2*Parametre!Q217</f>
        <v>49965683.164165579</v>
      </c>
      <c r="R53" s="655">
        <f>R50/$C$40/2*Parametre!R217</f>
        <v>51424877.096874021</v>
      </c>
      <c r="S53" s="655">
        <f>S50/$C$40/2*Parametre!S217</f>
        <v>52926692.025004663</v>
      </c>
      <c r="T53" s="655">
        <f>T50/$C$40/2*Parametre!T217</f>
        <v>54472362.565845042</v>
      </c>
      <c r="U53" s="655">
        <f>U50/$C$40/2*Parametre!U217</f>
        <v>55974535.890005879</v>
      </c>
      <c r="V53" s="655">
        <f>V50/$C$40/2*Parametre!V217</f>
        <v>57518134.367613576</v>
      </c>
      <c r="W53" s="655">
        <f>W50/$C$40/2*Parametre!W217</f>
        <v>59104301.849379107</v>
      </c>
      <c r="X53" s="655">
        <f>X50/$C$40/2*Parametre!X217</f>
        <v>60734213.107769631</v>
      </c>
      <c r="Y53" s="655">
        <f>Y50/$C$40/2*Parametre!Y217</f>
        <v>62409064.903432906</v>
      </c>
      <c r="Z53" s="655">
        <f>Z50/$C$40/2*Parametre!Z217</f>
        <v>64130105.70651643</v>
      </c>
      <c r="AA53" s="655">
        <f>AA50/$C$40/2*Parametre!AA217</f>
        <v>65898607.975345455</v>
      </c>
      <c r="AB53" s="655">
        <f>AB50/$C$40/2*Parametre!AB217</f>
        <v>67715878.445277721</v>
      </c>
      <c r="AC53" s="655">
        <f>AC50/$C$40/2*Parametre!AC217</f>
        <v>69583269.441864058</v>
      </c>
      <c r="AD53" s="655">
        <f>AD50/$C$40/2*Parametre!AD217</f>
        <v>71502148.886927918</v>
      </c>
      <c r="AE53" s="655">
        <f>AE50/$C$40/2*Parametre!AE217</f>
        <v>73415772.266329721</v>
      </c>
      <c r="AF53" s="655">
        <f>AF50/$C$40/2*Parametre!AF217</f>
        <v>75380612.771572828</v>
      </c>
      <c r="AG53" s="655">
        <f>AG50/$C$40/2*Parametre!AG217</f>
        <v>77398041.541725591</v>
      </c>
      <c r="AH53" s="655">
        <f>AH50/$C$40/2*Parametre!AH217</f>
        <v>79469465.777412444</v>
      </c>
      <c r="AI53" s="655">
        <f>AI50/$C$40/2*Parametre!AI217</f>
        <v>81596318.132043675</v>
      </c>
      <c r="AJ53" s="655">
        <f>AJ50/$C$40/2*Parametre!AJ217</f>
        <v>83780091.854177758</v>
      </c>
      <c r="AK53" s="655">
        <f>AK50/$C$40/2*Parametre!AK217</f>
        <v>86022319.864184216</v>
      </c>
      <c r="AL53" s="655">
        <f>AL50/$C$40/2*Parametre!AL217</f>
        <v>88324551.522539288</v>
      </c>
    </row>
    <row r="54" spans="2:38" x14ac:dyDescent="0.2">
      <c r="B54" s="656" t="s">
        <v>9</v>
      </c>
      <c r="C54" s="649">
        <f t="shared" si="8"/>
        <v>7730014946.2132254</v>
      </c>
      <c r="D54" s="657">
        <f>SUM(D51:D53)</f>
        <v>128764393.2190893</v>
      </c>
      <c r="E54" s="657">
        <f t="shared" ref="E54:AG54" si="11">SUM(E51:E53)</f>
        <v>133886746.60426793</v>
      </c>
      <c r="F54" s="657">
        <f t="shared" si="11"/>
        <v>138450357.53154758</v>
      </c>
      <c r="G54" s="657">
        <f t="shared" si="11"/>
        <v>142718944.43484044</v>
      </c>
      <c r="H54" s="657">
        <f t="shared" si="11"/>
        <v>147235258.85903415</v>
      </c>
      <c r="I54" s="657">
        <f t="shared" si="11"/>
        <v>151654911.16686586</v>
      </c>
      <c r="J54" s="657">
        <f t="shared" si="11"/>
        <v>156207227.46233609</v>
      </c>
      <c r="K54" s="657">
        <f t="shared" si="11"/>
        <v>160769104.60409701</v>
      </c>
      <c r="L54" s="657">
        <f t="shared" si="11"/>
        <v>165464202.51867765</v>
      </c>
      <c r="M54" s="657">
        <f t="shared" si="11"/>
        <v>170296417.15540951</v>
      </c>
      <c r="N54" s="657">
        <f t="shared" si="11"/>
        <v>175269757.24185929</v>
      </c>
      <c r="O54" s="657">
        <f t="shared" si="11"/>
        <v>180388331.62044519</v>
      </c>
      <c r="P54" s="657">
        <f t="shared" si="11"/>
        <v>185656393.19934559</v>
      </c>
      <c r="Q54" s="657">
        <f t="shared" si="11"/>
        <v>191078300.47881156</v>
      </c>
      <c r="R54" s="657">
        <f t="shared" si="11"/>
        <v>196658547.42734179</v>
      </c>
      <c r="S54" s="657">
        <f t="shared" si="11"/>
        <v>202401766.44421911</v>
      </c>
      <c r="T54" s="657">
        <f t="shared" si="11"/>
        <v>208312707.14357239</v>
      </c>
      <c r="U54" s="657">
        <f t="shared" si="11"/>
        <v>214057305.18377638</v>
      </c>
      <c r="V54" s="657">
        <f t="shared" si="11"/>
        <v>219960320.36045861</v>
      </c>
      <c r="W54" s="657">
        <f t="shared" si="11"/>
        <v>226026123.93037951</v>
      </c>
      <c r="X54" s="657">
        <f t="shared" si="11"/>
        <v>232259204.56302336</v>
      </c>
      <c r="Y54" s="657">
        <f t="shared" si="11"/>
        <v>238664166.94413093</v>
      </c>
      <c r="Z54" s="657">
        <f t="shared" si="11"/>
        <v>245245759.74937028</v>
      </c>
      <c r="AA54" s="657">
        <f t="shared" si="11"/>
        <v>252008852.24926925</v>
      </c>
      <c r="AB54" s="657">
        <f t="shared" si="11"/>
        <v>258958447.45514718</v>
      </c>
      <c r="AC54" s="657">
        <f t="shared" si="11"/>
        <v>266099696.29903567</v>
      </c>
      <c r="AD54" s="657">
        <f t="shared" si="11"/>
        <v>273437870.32884562</v>
      </c>
      <c r="AE54" s="657">
        <f t="shared" si="11"/>
        <v>280755939.79211015</v>
      </c>
      <c r="AF54" s="657">
        <f t="shared" si="11"/>
        <v>288269867.13327825</v>
      </c>
      <c r="AG54" s="657">
        <f t="shared" si="11"/>
        <v>295984893.41465336</v>
      </c>
      <c r="AH54" s="657">
        <f t="shared" ref="AH54:AL54" si="12">SUM(AH51:AH53)</f>
        <v>303906401.35711157</v>
      </c>
      <c r="AI54" s="657">
        <f t="shared" si="12"/>
        <v>312039904.62980503</v>
      </c>
      <c r="AJ54" s="657">
        <f t="shared" si="12"/>
        <v>320391086.46399373</v>
      </c>
      <c r="AK54" s="657">
        <f t="shared" si="12"/>
        <v>328965781.51731932</v>
      </c>
      <c r="AL54" s="657">
        <f t="shared" si="12"/>
        <v>337769957.72975516</v>
      </c>
    </row>
    <row r="55" spans="2:38" x14ac:dyDescent="0.2">
      <c r="B55" s="658"/>
      <c r="C55" s="659"/>
      <c r="D55" s="659"/>
      <c r="E55" s="659"/>
      <c r="F55" s="659"/>
      <c r="G55" s="659"/>
      <c r="H55" s="659"/>
      <c r="I55" s="659"/>
      <c r="J55" s="659"/>
      <c r="K55" s="659"/>
      <c r="L55" s="659"/>
      <c r="M55" s="659"/>
      <c r="N55" s="659"/>
      <c r="O55" s="659"/>
      <c r="P55" s="659"/>
      <c r="Q55" s="659"/>
      <c r="R55" s="659"/>
      <c r="S55" s="659"/>
      <c r="T55" s="659"/>
      <c r="U55" s="659"/>
      <c r="V55" s="659"/>
      <c r="W55" s="659"/>
      <c r="X55" s="659"/>
      <c r="Y55" s="659"/>
      <c r="Z55" s="659"/>
      <c r="AA55" s="659"/>
      <c r="AB55" s="659"/>
      <c r="AC55" s="659"/>
      <c r="AD55" s="659"/>
      <c r="AE55" s="659"/>
      <c r="AF55" s="659"/>
      <c r="AG55" s="660"/>
      <c r="AH55" s="659"/>
      <c r="AI55" s="659"/>
      <c r="AJ55" s="660"/>
      <c r="AK55" s="659"/>
      <c r="AL55" s="659"/>
    </row>
    <row r="56" spans="2:38" x14ac:dyDescent="0.2">
      <c r="B56" s="647" t="s">
        <v>34</v>
      </c>
      <c r="C56" s="647" t="s">
        <v>9</v>
      </c>
      <c r="D56" s="648">
        <f t="shared" ref="D56:AG56" si="13">D47</f>
        <v>2025</v>
      </c>
      <c r="E56" s="648">
        <f t="shared" si="13"/>
        <v>2026</v>
      </c>
      <c r="F56" s="648">
        <f t="shared" si="13"/>
        <v>2027</v>
      </c>
      <c r="G56" s="648">
        <f t="shared" si="13"/>
        <v>2028</v>
      </c>
      <c r="H56" s="648">
        <f t="shared" si="13"/>
        <v>2029</v>
      </c>
      <c r="I56" s="648">
        <f t="shared" si="13"/>
        <v>2030</v>
      </c>
      <c r="J56" s="648">
        <f t="shared" si="13"/>
        <v>2031</v>
      </c>
      <c r="K56" s="648">
        <f t="shared" si="13"/>
        <v>2032</v>
      </c>
      <c r="L56" s="648">
        <f t="shared" si="13"/>
        <v>2033</v>
      </c>
      <c r="M56" s="648">
        <f t="shared" si="13"/>
        <v>2034</v>
      </c>
      <c r="N56" s="648">
        <f t="shared" si="13"/>
        <v>2035</v>
      </c>
      <c r="O56" s="648">
        <f t="shared" si="13"/>
        <v>2036</v>
      </c>
      <c r="P56" s="648">
        <f t="shared" si="13"/>
        <v>2037</v>
      </c>
      <c r="Q56" s="648">
        <f t="shared" si="13"/>
        <v>2038</v>
      </c>
      <c r="R56" s="648">
        <f t="shared" si="13"/>
        <v>2039</v>
      </c>
      <c r="S56" s="648">
        <f t="shared" si="13"/>
        <v>2040</v>
      </c>
      <c r="T56" s="648">
        <f t="shared" si="13"/>
        <v>2041</v>
      </c>
      <c r="U56" s="648">
        <f t="shared" si="13"/>
        <v>2042</v>
      </c>
      <c r="V56" s="648">
        <f t="shared" si="13"/>
        <v>2043</v>
      </c>
      <c r="W56" s="648">
        <f t="shared" si="13"/>
        <v>2044</v>
      </c>
      <c r="X56" s="648">
        <f t="shared" si="13"/>
        <v>2045</v>
      </c>
      <c r="Y56" s="648">
        <f t="shared" si="13"/>
        <v>2046</v>
      </c>
      <c r="Z56" s="648">
        <f t="shared" si="13"/>
        <v>2047</v>
      </c>
      <c r="AA56" s="648">
        <f t="shared" si="13"/>
        <v>2048</v>
      </c>
      <c r="AB56" s="648">
        <f t="shared" si="13"/>
        <v>2049</v>
      </c>
      <c r="AC56" s="648">
        <f t="shared" si="13"/>
        <v>2050</v>
      </c>
      <c r="AD56" s="648">
        <f t="shared" si="13"/>
        <v>2051</v>
      </c>
      <c r="AE56" s="648">
        <f t="shared" si="13"/>
        <v>2052</v>
      </c>
      <c r="AF56" s="648">
        <f t="shared" si="13"/>
        <v>2053</v>
      </c>
      <c r="AG56" s="648">
        <f t="shared" si="13"/>
        <v>2054</v>
      </c>
      <c r="AH56" s="648">
        <f t="shared" ref="AH56:AL56" si="14">AH47</f>
        <v>2055</v>
      </c>
      <c r="AI56" s="648">
        <f t="shared" si="14"/>
        <v>2056</v>
      </c>
      <c r="AJ56" s="648">
        <f t="shared" si="14"/>
        <v>2057</v>
      </c>
      <c r="AK56" s="648">
        <f t="shared" si="14"/>
        <v>2058</v>
      </c>
      <c r="AL56" s="648">
        <f t="shared" si="14"/>
        <v>2059</v>
      </c>
    </row>
    <row r="57" spans="2:38" x14ac:dyDescent="0.2">
      <c r="B57" s="649" t="s">
        <v>701</v>
      </c>
      <c r="C57" s="649">
        <f>SUM(D57:AL57)</f>
        <v>663350224.13058043</v>
      </c>
      <c r="D57" s="651">
        <f t="shared" ref="D57:AG57" si="15">D48-D58</f>
        <v>14121293.583049998</v>
      </c>
      <c r="E57" s="651">
        <f>E48-E58</f>
        <v>14361355.573961847</v>
      </c>
      <c r="F57" s="651">
        <f>F48-F58</f>
        <v>14605498.618719196</v>
      </c>
      <c r="G57" s="651">
        <f t="shared" si="15"/>
        <v>14711721.318457041</v>
      </c>
      <c r="H57" s="651">
        <f t="shared" si="15"/>
        <v>14964235.784076076</v>
      </c>
      <c r="I57" s="651">
        <f t="shared" si="15"/>
        <v>15221042.995610634</v>
      </c>
      <c r="J57" s="651">
        <f t="shared" si="15"/>
        <v>15482215.92974128</v>
      </c>
      <c r="K57" s="651">
        <f t="shared" si="15"/>
        <v>15747828.803752147</v>
      </c>
      <c r="L57" s="651">
        <f t="shared" si="15"/>
        <v>16017957.096621199</v>
      </c>
      <c r="M57" s="651">
        <f t="shared" si="15"/>
        <v>16292677.570469024</v>
      </c>
      <c r="N57" s="651">
        <f t="shared" si="15"/>
        <v>16572068.292372262</v>
      </c>
      <c r="O57" s="651">
        <f t="shared" si="15"/>
        <v>16856208.656547852</v>
      </c>
      <c r="P57" s="651">
        <f t="shared" si="15"/>
        <v>17145179.406914432</v>
      </c>
      <c r="Q57" s="651">
        <f t="shared" si="15"/>
        <v>17439062.660037242</v>
      </c>
      <c r="R57" s="651">
        <f t="shared" si="15"/>
        <v>17737941.928463139</v>
      </c>
      <c r="S57" s="651">
        <f t="shared" si="15"/>
        <v>18041902.144452278</v>
      </c>
      <c r="T57" s="651">
        <f t="shared" si="15"/>
        <v>18351313.825666793</v>
      </c>
      <c r="U57" s="651">
        <f t="shared" si="15"/>
        <v>18665980.106772438</v>
      </c>
      <c r="V57" s="651">
        <f t="shared" si="15"/>
        <v>18985990.326764736</v>
      </c>
      <c r="W57" s="651">
        <f t="shared" si="15"/>
        <v>19311435.343380548</v>
      </c>
      <c r="X57" s="651">
        <f t="shared" si="15"/>
        <v>19642407.558916714</v>
      </c>
      <c r="Y57" s="651">
        <f t="shared" si="15"/>
        <v>19979000.946487591</v>
      </c>
      <c r="Z57" s="651">
        <f t="shared" si="15"/>
        <v>20321311.076729037</v>
      </c>
      <c r="AA57" s="651">
        <f t="shared" si="15"/>
        <v>20669435.144956287</v>
      </c>
      <c r="AB57" s="651">
        <f t="shared" si="15"/>
        <v>21023471.998783551</v>
      </c>
      <c r="AC57" s="651">
        <f t="shared" si="15"/>
        <v>21383522.166213155</v>
      </c>
      <c r="AD57" s="651">
        <f t="shared" si="15"/>
        <v>21749687.88420216</v>
      </c>
      <c r="AE57" s="651">
        <f t="shared" si="15"/>
        <v>22122073.127714653</v>
      </c>
      <c r="AF57" s="651">
        <f t="shared" si="15"/>
        <v>22500783.639267895</v>
      </c>
      <c r="AG57" s="651">
        <f t="shared" si="15"/>
        <v>22885926.95898078</v>
      </c>
      <c r="AH57" s="651">
        <f t="shared" ref="AH57:AL57" si="16">AH48-AH58</f>
        <v>23277612.455133092</v>
      </c>
      <c r="AI57" s="651">
        <f t="shared" si="16"/>
        <v>23675951.355244294</v>
      </c>
      <c r="AJ57" s="651">
        <f t="shared" si="16"/>
        <v>24081056.777680635</v>
      </c>
      <c r="AK57" s="651">
        <f t="shared" si="16"/>
        <v>24493043.763799604</v>
      </c>
      <c r="AL57" s="651">
        <f t="shared" si="16"/>
        <v>24912029.310640797</v>
      </c>
    </row>
    <row r="58" spans="2:38" s="663" customFormat="1" x14ac:dyDescent="0.2">
      <c r="B58" s="661" t="s">
        <v>704</v>
      </c>
      <c r="C58" s="649">
        <f t="shared" ref="C58:C65" si="17">SUM(D58:AL58)</f>
        <v>4492920.3329415759</v>
      </c>
      <c r="D58" s="662">
        <f>Vstupy!C33</f>
        <v>0</v>
      </c>
      <c r="E58" s="662">
        <f>Vstupy!D33</f>
        <v>0</v>
      </c>
      <c r="F58" s="662">
        <f>Vstupy!E33</f>
        <v>0</v>
      </c>
      <c r="G58" s="662">
        <f>Vstupy!F33</f>
        <v>142070.77678038049</v>
      </c>
      <c r="H58" s="662">
        <f>Vstupy!G33</f>
        <v>142070.77678038049</v>
      </c>
      <c r="I58" s="662">
        <f>Vstupy!H33</f>
        <v>142070.77678038049</v>
      </c>
      <c r="J58" s="662">
        <f>Vstupy!I33</f>
        <v>142070.77678038049</v>
      </c>
      <c r="K58" s="662">
        <f>Vstupy!J33</f>
        <v>142070.77678038049</v>
      </c>
      <c r="L58" s="662">
        <f>Vstupy!K33</f>
        <v>142070.77678038049</v>
      </c>
      <c r="M58" s="662">
        <f>Vstupy!L33</f>
        <v>142070.77678038049</v>
      </c>
      <c r="N58" s="662">
        <f>Vstupy!M33</f>
        <v>142070.77678038049</v>
      </c>
      <c r="O58" s="662">
        <f>Vstupy!N33</f>
        <v>142070.77678038049</v>
      </c>
      <c r="P58" s="662">
        <f>Vstupy!O33</f>
        <v>142070.77678038049</v>
      </c>
      <c r="Q58" s="662">
        <f>Vstupy!P33</f>
        <v>142070.77678038049</v>
      </c>
      <c r="R58" s="662">
        <f>Vstupy!Q33</f>
        <v>142070.77678038049</v>
      </c>
      <c r="S58" s="662">
        <f>Vstupy!R33</f>
        <v>142070.77678038049</v>
      </c>
      <c r="T58" s="662">
        <f>Vstupy!S33</f>
        <v>141786.63522681972</v>
      </c>
      <c r="U58" s="662">
        <f>Vstupy!T33</f>
        <v>141503.06195636609</v>
      </c>
      <c r="V58" s="662">
        <f>Vstupy!U33</f>
        <v>141220.05583245336</v>
      </c>
      <c r="W58" s="662">
        <f>Vstupy!V33</f>
        <v>140937.61572078845</v>
      </c>
      <c r="X58" s="662">
        <f>Vstupy!W33</f>
        <v>140655.74048934688</v>
      </c>
      <c r="Y58" s="662">
        <f>Vstupy!X33</f>
        <v>140374.42900836817</v>
      </c>
      <c r="Z58" s="662">
        <f>Vstupy!Y33</f>
        <v>140093.68015035143</v>
      </c>
      <c r="AA58" s="662">
        <f>Vstupy!Z33</f>
        <v>139813.49279005072</v>
      </c>
      <c r="AB58" s="662">
        <f>Vstupy!AA33</f>
        <v>139533.86580447061</v>
      </c>
      <c r="AC58" s="662">
        <f>Vstupy!AB33</f>
        <v>139254.79807286168</v>
      </c>
      <c r="AD58" s="662">
        <f>Vstupy!AC33</f>
        <v>138976.28847671594</v>
      </c>
      <c r="AE58" s="662">
        <f>Vstupy!AD33</f>
        <v>138698.33589976252</v>
      </c>
      <c r="AF58" s="662">
        <f>Vstupy!AE33</f>
        <v>138420.93922796298</v>
      </c>
      <c r="AG58" s="662">
        <f>Vstupy!AF33</f>
        <v>138144.09734950706</v>
      </c>
      <c r="AH58" s="662">
        <f>Vstupy!AG33</f>
        <v>137867.80915480806</v>
      </c>
      <c r="AI58" s="662">
        <f>Vstupy!AH33</f>
        <v>137592.07353649844</v>
      </c>
      <c r="AJ58" s="662">
        <f>Vstupy!AI33</f>
        <v>137316.88938942546</v>
      </c>
      <c r="AK58" s="662">
        <f>Vstupy!AJ33</f>
        <v>137042.25561064659</v>
      </c>
      <c r="AL58" s="662">
        <f>Vstupy!AK33</f>
        <v>136768.17109942529</v>
      </c>
    </row>
    <row r="59" spans="2:38" x14ac:dyDescent="0.2">
      <c r="B59" s="664"/>
      <c r="C59" s="649"/>
      <c r="D59" s="650"/>
      <c r="E59" s="650"/>
      <c r="F59" s="650"/>
      <c r="G59" s="650"/>
      <c r="H59" s="650"/>
      <c r="I59" s="650"/>
      <c r="J59" s="650"/>
      <c r="K59" s="650"/>
      <c r="L59" s="650"/>
      <c r="M59" s="650"/>
      <c r="N59" s="650"/>
      <c r="O59" s="650"/>
      <c r="P59" s="650"/>
      <c r="Q59" s="650"/>
      <c r="R59" s="650"/>
      <c r="S59" s="650"/>
      <c r="T59" s="650"/>
      <c r="U59" s="650"/>
      <c r="V59" s="650"/>
      <c r="W59" s="650"/>
      <c r="X59" s="650"/>
      <c r="Y59" s="650"/>
      <c r="Z59" s="650"/>
      <c r="AA59" s="650"/>
      <c r="AB59" s="650"/>
      <c r="AC59" s="650"/>
      <c r="AD59" s="650"/>
      <c r="AE59" s="650"/>
      <c r="AF59" s="650"/>
      <c r="AG59" s="650"/>
      <c r="AH59" s="650"/>
      <c r="AI59" s="650"/>
      <c r="AJ59" s="650"/>
      <c r="AK59" s="650"/>
      <c r="AL59" s="650"/>
    </row>
    <row r="60" spans="2:38" x14ac:dyDescent="0.2">
      <c r="B60" s="644" t="s">
        <v>702</v>
      </c>
      <c r="C60" s="649">
        <f t="shared" si="17"/>
        <v>19825824910.604702</v>
      </c>
      <c r="D60" s="665">
        <f>D57/$D$30*$D$31</f>
        <v>422048992.9821499</v>
      </c>
      <c r="E60" s="665">
        <f>E57/$D$30*$D$31</f>
        <v>429223825.86284649</v>
      </c>
      <c r="F60" s="665">
        <f t="shared" ref="F60:AG60" si="18">F57/$D$30*$D$31</f>
        <v>436520630.90251482</v>
      </c>
      <c r="G60" s="665">
        <f t="shared" si="18"/>
        <v>439695353.04765981</v>
      </c>
      <c r="H60" s="665">
        <f t="shared" si="18"/>
        <v>447242358.23533332</v>
      </c>
      <c r="I60" s="665">
        <f t="shared" si="18"/>
        <v>454917662.51119727</v>
      </c>
      <c r="J60" s="665">
        <f t="shared" si="18"/>
        <v>462723446.95975101</v>
      </c>
      <c r="K60" s="665">
        <f t="shared" si="18"/>
        <v>470661929.7439301</v>
      </c>
      <c r="L60" s="665">
        <f t="shared" si="18"/>
        <v>478735366.73544025</v>
      </c>
      <c r="M60" s="665">
        <f t="shared" si="18"/>
        <v>486946052.15580601</v>
      </c>
      <c r="N60" s="665">
        <f t="shared" si="18"/>
        <v>495296319.22831804</v>
      </c>
      <c r="O60" s="665">
        <f t="shared" si="18"/>
        <v>503788540.84106266</v>
      </c>
      <c r="P60" s="665">
        <f t="shared" si="18"/>
        <v>512425130.22122407</v>
      </c>
      <c r="Q60" s="665">
        <f t="shared" si="18"/>
        <v>521208541.62084818</v>
      </c>
      <c r="R60" s="665">
        <f t="shared" si="18"/>
        <v>530141271.01426589</v>
      </c>
      <c r="S60" s="665">
        <f t="shared" si="18"/>
        <v>539225856.80737174</v>
      </c>
      <c r="T60" s="665">
        <f t="shared" si="18"/>
        <v>548473372.81612074</v>
      </c>
      <c r="U60" s="665">
        <f t="shared" si="18"/>
        <v>557877935.24413252</v>
      </c>
      <c r="V60" s="665">
        <f t="shared" si="18"/>
        <v>567442214.20324016</v>
      </c>
      <c r="W60" s="665">
        <f t="shared" si="18"/>
        <v>577168925.19653249</v>
      </c>
      <c r="X60" s="665">
        <f t="shared" si="18"/>
        <v>587060829.8900075</v>
      </c>
      <c r="Y60" s="665">
        <f t="shared" si="18"/>
        <v>597120736.89734113</v>
      </c>
      <c r="Z60" s="665">
        <f t="shared" si="18"/>
        <v>607351502.57800102</v>
      </c>
      <c r="AA60" s="665">
        <f t="shared" si="18"/>
        <v>617756031.84892535</v>
      </c>
      <c r="AB60" s="665">
        <f t="shared" si="18"/>
        <v>628337279.01000118</v>
      </c>
      <c r="AC60" s="665">
        <f t="shared" si="18"/>
        <v>639098248.58357596</v>
      </c>
      <c r="AD60" s="665">
        <f t="shared" si="18"/>
        <v>650041996.16824079</v>
      </c>
      <c r="AE60" s="665">
        <f t="shared" si="18"/>
        <v>661171629.30712736</v>
      </c>
      <c r="AF60" s="665">
        <f t="shared" si="18"/>
        <v>672490308.37096691</v>
      </c>
      <c r="AG60" s="665">
        <f t="shared" si="18"/>
        <v>684001247.45616066</v>
      </c>
      <c r="AH60" s="665">
        <f t="shared" ref="AH60:AL60" si="19">AH57/$D$30*$D$31</f>
        <v>695707715.2981168</v>
      </c>
      <c r="AI60" s="665">
        <f t="shared" si="19"/>
        <v>707613036.20011592</v>
      </c>
      <c r="AJ60" s="665">
        <f t="shared" si="19"/>
        <v>719720590.977965</v>
      </c>
      <c r="AK60" s="665">
        <f t="shared" si="19"/>
        <v>732033817.92071271</v>
      </c>
      <c r="AL60" s="665">
        <f t="shared" si="19"/>
        <v>744556213.76769483</v>
      </c>
    </row>
    <row r="61" spans="2:38" x14ac:dyDescent="0.2">
      <c r="B61" s="654" t="s">
        <v>703</v>
      </c>
      <c r="C61" s="649">
        <f t="shared" si="17"/>
        <v>3747469734.5973649</v>
      </c>
      <c r="D61" s="655">
        <f>D60/$C$38/2*Parametre!D215</f>
        <v>62845772.595234968</v>
      </c>
      <c r="E61" s="655">
        <f>E60/$C$38/2*Parametre!E215</f>
        <v>65345827.646241926</v>
      </c>
      <c r="F61" s="655">
        <f>F60/$C$38/2*Parametre!F215</f>
        <v>67573179.440602422</v>
      </c>
      <c r="G61" s="655">
        <f>G60/$C$38/2*Parametre!G215</f>
        <v>68990303.825029284</v>
      </c>
      <c r="H61" s="655">
        <f>H60/$C$38/2*Parametre!H215</f>
        <v>71184977.258866459</v>
      </c>
      <c r="I61" s="655">
        <f>I60/$C$38/2*Parametre!I215</f>
        <v>73333415.653233811</v>
      </c>
      <c r="J61" s="655">
        <f>J60/$C$38/2*Parametre!J215</f>
        <v>75546493.946095094</v>
      </c>
      <c r="K61" s="655">
        <f>K60/$C$38/2*Parametre!K215</f>
        <v>77764680.332245156</v>
      </c>
      <c r="L61" s="655">
        <f>L60/$C$38/2*Parametre!L215</f>
        <v>80047789.682103723</v>
      </c>
      <c r="M61" s="655">
        <f>M60/$C$38/2*Parametre!M215</f>
        <v>82397719.784212664</v>
      </c>
      <c r="N61" s="655">
        <f>N60/$C$38/2*Parametre!N215</f>
        <v>84816423.839118078</v>
      </c>
      <c r="O61" s="655">
        <f>O60/$C$38/2*Parametre!O215</f>
        <v>87305912.05553481</v>
      </c>
      <c r="P61" s="655">
        <f>P60/$C$38/2*Parametre!P215</f>
        <v>89868253.461263359</v>
      </c>
      <c r="Q61" s="655">
        <f>Q60/$C$38/2*Parametre!Q215</f>
        <v>92505577.431863591</v>
      </c>
      <c r="R61" s="655">
        <f>R60/$C$38/2*Parametre!R215</f>
        <v>95220075.425389975</v>
      </c>
      <c r="S61" s="655">
        <f>S60/$C$38/2*Parametre!S215</f>
        <v>98014003.302222073</v>
      </c>
      <c r="T61" s="655">
        <f>T60/$C$38/2*Parametre!T215</f>
        <v>100891244.62058224</v>
      </c>
      <c r="U61" s="655">
        <f>U60/$C$38/2*Parametre!U215</f>
        <v>103688467.02722251</v>
      </c>
      <c r="V61" s="655">
        <f>V60/$C$38/2*Parametre!V215</f>
        <v>106562953.18862712</v>
      </c>
      <c r="W61" s="655">
        <f>W60/$C$38/2*Parametre!W215</f>
        <v>109516835.05713195</v>
      </c>
      <c r="X61" s="655">
        <f>X60/$C$38/2*Parametre!X215</f>
        <v>112552302.91065913</v>
      </c>
      <c r="Y61" s="655">
        <f>Y60/$C$38/2*Parametre!Y215</f>
        <v>115671607.91016145</v>
      </c>
      <c r="Z61" s="655">
        <f>Z60/$C$38/2*Parametre!Z215</f>
        <v>118877062.98701543</v>
      </c>
      <c r="AA61" s="655">
        <f>AA60/$C$38/2*Parametre!AA215</f>
        <v>122171044.92341398</v>
      </c>
      <c r="AB61" s="655">
        <f>AB60/$C$38/2*Parametre!AB215</f>
        <v>125555996.3106821</v>
      </c>
      <c r="AC61" s="655">
        <f>AC60/$C$38/2*Parametre!AC215</f>
        <v>129034426.7282692</v>
      </c>
      <c r="AD61" s="655">
        <f>AD60/$C$38/2*Parametre!AD215</f>
        <v>132608915.20028549</v>
      </c>
      <c r="AE61" s="655">
        <f>AE60/$C$38/2*Parametre!AE215</f>
        <v>136174208.33310813</v>
      </c>
      <c r="AF61" s="655">
        <f>AF60/$C$38/2*Parametre!AF215</f>
        <v>139835043.30251917</v>
      </c>
      <c r="AG61" s="655">
        <f>AG60/$C$38/2*Parametre!AG215</f>
        <v>143593978.00671342</v>
      </c>
      <c r="AH61" s="655">
        <f>AH60/$C$38/2*Parametre!AH215</f>
        <v>147453638.98584777</v>
      </c>
      <c r="AI61" s="655">
        <f>AI60/$C$38/2*Parametre!AI215</f>
        <v>151416722.78850093</v>
      </c>
      <c r="AJ61" s="655">
        <f>AJ60/$C$38/2*Parametre!AJ215</f>
        <v>155485998.53198335</v>
      </c>
      <c r="AK61" s="655">
        <f>AK60/$C$38/2*Parametre!AK215</f>
        <v>159664308.88431466</v>
      </c>
      <c r="AL61" s="655">
        <f>AL60/$C$38/2*Parametre!AL215</f>
        <v>163954573.22106925</v>
      </c>
    </row>
    <row r="62" spans="2:38" x14ac:dyDescent="0.2">
      <c r="B62" s="654" t="s">
        <v>682</v>
      </c>
      <c r="C62" s="649">
        <f t="shared" si="17"/>
        <v>1922912464.5501029</v>
      </c>
      <c r="D62" s="655">
        <f>D60/$C$39/2*Parametre!D216</f>
        <v>32247603.948422614</v>
      </c>
      <c r="E62" s="655">
        <f>E60/$C$39/2*Parametre!E216</f>
        <v>33530439.209510263</v>
      </c>
      <c r="F62" s="655">
        <f>F60/$C$39/2*Parametre!F216</f>
        <v>34673344.483315028</v>
      </c>
      <c r="G62" s="655">
        <f>G60/$C$39/2*Parametre!G216</f>
        <v>35400503.176661275</v>
      </c>
      <c r="H62" s="655">
        <f>H60/$C$39/2*Parametre!H216</f>
        <v>36526640.33223521</v>
      </c>
      <c r="I62" s="655">
        <f>I60/$C$39/2*Parametre!I216</f>
        <v>37629053.037154853</v>
      </c>
      <c r="J62" s="655">
        <f>J60/$C$39/2*Parametre!J216</f>
        <v>38764633.854040243</v>
      </c>
      <c r="K62" s="655">
        <f>K60/$C$39/2*Parametre!K216</f>
        <v>39902836.255676359</v>
      </c>
      <c r="L62" s="655">
        <f>L60/$C$39/2*Parametre!L216</f>
        <v>41074352.056452334</v>
      </c>
      <c r="M62" s="655">
        <f>M60/$C$39/2*Parametre!M216</f>
        <v>42280155.090875387</v>
      </c>
      <c r="N62" s="655">
        <f>N60/$C$39/2*Parametre!N216</f>
        <v>43521247.379419982</v>
      </c>
      <c r="O62" s="655">
        <f>O60/$C$39/2*Parametre!O216</f>
        <v>44798660.52958969</v>
      </c>
      <c r="P62" s="655">
        <f>P60/$C$39/2*Parametre!P216</f>
        <v>46113456.607258298</v>
      </c>
      <c r="Q62" s="655">
        <f>Q60/$C$39/2*Parametre!Q216</f>
        <v>47466727.784734055</v>
      </c>
      <c r="R62" s="655">
        <f>R60/$C$39/2*Parametre!R216</f>
        <v>48859599.060742393</v>
      </c>
      <c r="S62" s="655">
        <f>S60/$C$39/2*Parametre!S216</f>
        <v>50293227.322677948</v>
      </c>
      <c r="T62" s="655">
        <f>T60/$C$39/2*Parametre!T216</f>
        <v>51769605.752485558</v>
      </c>
      <c r="U62" s="655">
        <f>U60/$C$39/2*Parametre!U216</f>
        <v>53204924.841778897</v>
      </c>
      <c r="V62" s="655">
        <f>V60/$C$39/2*Parametre!V216</f>
        <v>54679889.349705212</v>
      </c>
      <c r="W62" s="655">
        <f>W60/$C$39/2*Parametre!W216</f>
        <v>56195594.02768594</v>
      </c>
      <c r="X62" s="655">
        <f>X60/$C$39/2*Parametre!X216</f>
        <v>57753161.804957062</v>
      </c>
      <c r="Y62" s="655">
        <f>Y60/$C$39/2*Parametre!Y216</f>
        <v>59353748.731039301</v>
      </c>
      <c r="Z62" s="655">
        <f>Z60/$C$39/2*Parametre!Z216</f>
        <v>60998541.371606924</v>
      </c>
      <c r="AA62" s="655">
        <f>AA60/$C$39/2*Parametre!AA216</f>
        <v>62688759.041543171</v>
      </c>
      <c r="AB62" s="655">
        <f>AB60/$C$39/2*Parametre!AB216</f>
        <v>64425654.702421278</v>
      </c>
      <c r="AC62" s="655">
        <f>AC60/$C$39/2*Parametre!AC216</f>
        <v>66210516.649544418</v>
      </c>
      <c r="AD62" s="655">
        <f>AD60/$C$39/2*Parametre!AD216</f>
        <v>68044668.745462194</v>
      </c>
      <c r="AE62" s="655">
        <f>AE60/$C$39/2*Parametre!AE216</f>
        <v>69874102.068672374</v>
      </c>
      <c r="AF62" s="655">
        <f>AF60/$C$39/2*Parametre!AF216</f>
        <v>71752560.621861219</v>
      </c>
      <c r="AG62" s="655">
        <f>AG60/$C$39/2*Parametre!AG216</f>
        <v>73681355.878340766</v>
      </c>
      <c r="AH62" s="655">
        <f>AH60/$C$39/2*Parametre!AH216</f>
        <v>75661836.249987125</v>
      </c>
      <c r="AI62" s="655">
        <f>AI60/$C$39/2*Parametre!AI216</f>
        <v>77695385.63695085</v>
      </c>
      <c r="AJ62" s="655">
        <f>AJ60/$C$39/2*Parametre!AJ216</f>
        <v>79783424.334749982</v>
      </c>
      <c r="AK62" s="655">
        <f>AK60/$C$39/2*Parametre!AK216</f>
        <v>81927410.840490773</v>
      </c>
      <c r="AL62" s="655">
        <f>AL60/$C$39/2*Parametre!AL216</f>
        <v>84128843.772054285</v>
      </c>
    </row>
    <row r="63" spans="2:38" x14ac:dyDescent="0.2">
      <c r="B63" s="654" t="s">
        <v>683</v>
      </c>
      <c r="C63" s="649">
        <f t="shared" si="17"/>
        <v>2007790054.001549</v>
      </c>
      <c r="D63" s="655">
        <f>D60/$C$40/2*Parametre!D217</f>
        <v>33671016.675431706</v>
      </c>
      <c r="E63" s="655">
        <f>E60/$C$40/2*Parametre!E217</f>
        <v>35010479.748515747</v>
      </c>
      <c r="F63" s="655">
        <f>F60/$C$40/2*Parametre!F217</f>
        <v>36203833.607630134</v>
      </c>
      <c r="G63" s="655">
        <f>G60/$C$40/2*Parametre!G217</f>
        <v>36963085.925283767</v>
      </c>
      <c r="H63" s="655">
        <f>H60/$C$40/2*Parametre!H217</f>
        <v>38138932.999813117</v>
      </c>
      <c r="I63" s="655">
        <f>I60/$C$40/2*Parametre!I217</f>
        <v>39290009.912919909</v>
      </c>
      <c r="J63" s="655">
        <f>J60/$C$40/2*Parametre!J217</f>
        <v>40475715.963339128</v>
      </c>
      <c r="K63" s="655">
        <f>K60/$C$40/2*Parametre!K217</f>
        <v>41664159.701564014</v>
      </c>
      <c r="L63" s="655">
        <f>L60/$C$40/2*Parametre!L217</f>
        <v>42887383.352252394</v>
      </c>
      <c r="M63" s="655">
        <f>M60/$C$40/2*Parametre!M217</f>
        <v>44146408.740033083</v>
      </c>
      <c r="N63" s="655">
        <f>N60/$C$40/2*Parametre!N217</f>
        <v>45442286.850630611</v>
      </c>
      <c r="O63" s="655">
        <f>O60/$C$40/2*Parametre!O217</f>
        <v>46776082.302745901</v>
      </c>
      <c r="P63" s="655">
        <f>P60/$C$40/2*Parametre!P217</f>
        <v>48148914.271358177</v>
      </c>
      <c r="Q63" s="655">
        <f>Q60/$C$40/2*Parametre!Q217</f>
        <v>49561917.192818716</v>
      </c>
      <c r="R63" s="655">
        <f>R60/$C$40/2*Parametre!R217</f>
        <v>51016265.964688085</v>
      </c>
      <c r="S63" s="655">
        <f>S60/$C$40/2*Parametre!S217</f>
        <v>52513177.537220284</v>
      </c>
      <c r="T63" s="655">
        <f>T60/$C$40/2*Parametre!T217</f>
        <v>54054722.861924157</v>
      </c>
      <c r="U63" s="655">
        <f>U60/$C$40/2*Parametre!U217</f>
        <v>55553396.700409688</v>
      </c>
      <c r="V63" s="655">
        <f>V60/$C$40/2*Parametre!V217</f>
        <v>57093466.369285747</v>
      </c>
      <c r="W63" s="655">
        <f>W60/$C$40/2*Parametre!W217</f>
        <v>58676075.462860227</v>
      </c>
      <c r="X63" s="655">
        <f>X60/$C$40/2*Parametre!X217</f>
        <v>60302398.500070952</v>
      </c>
      <c r="Y63" s="655">
        <f>Y60/$C$40/2*Parametre!Y217</f>
        <v>61973632.058860824</v>
      </c>
      <c r="Z63" s="655">
        <f>Z60/$C$40/2*Parametre!Z217</f>
        <v>63691024.293309145</v>
      </c>
      <c r="AA63" s="655">
        <f>AA60/$C$40/2*Parametre!AA217</f>
        <v>65455847.416738711</v>
      </c>
      <c r="AB63" s="655">
        <f>AB60/$C$40/2*Parametre!AB217</f>
        <v>67269407.922315493</v>
      </c>
      <c r="AC63" s="655">
        <f>AC60/$C$40/2*Parametre!AC217</f>
        <v>69133057.828768998</v>
      </c>
      <c r="AD63" s="655">
        <f>AD60/$C$40/2*Parametre!AD217</f>
        <v>71048164.888999984</v>
      </c>
      <c r="AE63" s="655">
        <f>AE60/$C$40/2*Parametre!AE217</f>
        <v>72958346.724776506</v>
      </c>
      <c r="AF63" s="655">
        <f>AF60/$C$40/2*Parametre!AF217</f>
        <v>74919719.581476733</v>
      </c>
      <c r="AG63" s="655">
        <f>AG60/$C$40/2*Parametre!AG217</f>
        <v>76933654.398407519</v>
      </c>
      <c r="AH63" s="655">
        <f>AH60/$C$40/2*Parametre!AH217</f>
        <v>79001558.178773746</v>
      </c>
      <c r="AI63" s="655">
        <f>AI60/$C$40/2*Parametre!AI217</f>
        <v>81124863.447514772</v>
      </c>
      <c r="AJ63" s="655">
        <f>AJ60/$C$40/2*Parametre!AJ217</f>
        <v>83305063.193528324</v>
      </c>
      <c r="AK63" s="655">
        <f>AK60/$C$40/2*Parametre!AK217</f>
        <v>85543690.080359757</v>
      </c>
      <c r="AL63" s="655">
        <f>AL60/$C$40/2*Parametre!AL217</f>
        <v>87842293.346923441</v>
      </c>
    </row>
    <row r="64" spans="2:38" x14ac:dyDescent="0.2">
      <c r="B64" s="654"/>
      <c r="C64" s="649">
        <f t="shared" si="17"/>
        <v>0</v>
      </c>
      <c r="D64" s="655"/>
      <c r="E64" s="655"/>
      <c r="F64" s="655"/>
      <c r="G64" s="655"/>
      <c r="H64" s="655"/>
      <c r="I64" s="655"/>
      <c r="J64" s="655"/>
      <c r="K64" s="655"/>
      <c r="L64" s="655"/>
      <c r="M64" s="655"/>
      <c r="N64" s="655"/>
      <c r="O64" s="655"/>
      <c r="P64" s="655"/>
      <c r="Q64" s="655"/>
      <c r="R64" s="655"/>
      <c r="S64" s="655"/>
      <c r="T64" s="655"/>
      <c r="U64" s="655"/>
      <c r="V64" s="655"/>
      <c r="W64" s="655"/>
      <c r="X64" s="655"/>
      <c r="Y64" s="655"/>
      <c r="Z64" s="655"/>
      <c r="AA64" s="655"/>
      <c r="AB64" s="655"/>
      <c r="AC64" s="655"/>
      <c r="AD64" s="655"/>
      <c r="AE64" s="655"/>
      <c r="AF64" s="655"/>
      <c r="AG64" s="655"/>
      <c r="AH64" s="655"/>
      <c r="AI64" s="655"/>
      <c r="AJ64" s="655"/>
      <c r="AK64" s="655"/>
      <c r="AL64" s="655"/>
    </row>
    <row r="65" spans="2:38" x14ac:dyDescent="0.2">
      <c r="B65" s="656" t="s">
        <v>9</v>
      </c>
      <c r="C65" s="649">
        <f t="shared" si="17"/>
        <v>7678172253.1490192</v>
      </c>
      <c r="D65" s="657">
        <f t="shared" ref="D65:AG65" si="20">SUM(D61:D63)</f>
        <v>128764393.2190893</v>
      </c>
      <c r="E65" s="657">
        <f t="shared" si="20"/>
        <v>133886746.60426793</v>
      </c>
      <c r="F65" s="657">
        <f t="shared" si="20"/>
        <v>138450357.53154758</v>
      </c>
      <c r="G65" s="657">
        <f t="shared" si="20"/>
        <v>141353892.92697433</v>
      </c>
      <c r="H65" s="657">
        <f t="shared" si="20"/>
        <v>145850550.59091479</v>
      </c>
      <c r="I65" s="657">
        <f t="shared" si="20"/>
        <v>150252478.60330856</v>
      </c>
      <c r="J65" s="657">
        <f t="shared" si="20"/>
        <v>154786843.76347446</v>
      </c>
      <c r="K65" s="657">
        <f t="shared" si="20"/>
        <v>159331676.28948551</v>
      </c>
      <c r="L65" s="657">
        <f t="shared" si="20"/>
        <v>164009525.09080845</v>
      </c>
      <c r="M65" s="657">
        <f t="shared" si="20"/>
        <v>168824283.61512113</v>
      </c>
      <c r="N65" s="657">
        <f t="shared" si="20"/>
        <v>173779958.06916869</v>
      </c>
      <c r="O65" s="657">
        <f t="shared" si="20"/>
        <v>178880654.8878704</v>
      </c>
      <c r="P65" s="657">
        <f t="shared" si="20"/>
        <v>184130624.33987981</v>
      </c>
      <c r="Q65" s="657">
        <f t="shared" si="20"/>
        <v>189534222.40941638</v>
      </c>
      <c r="R65" s="657">
        <f t="shared" si="20"/>
        <v>195095940.45082048</v>
      </c>
      <c r="S65" s="657">
        <f t="shared" si="20"/>
        <v>200820408.16212028</v>
      </c>
      <c r="T65" s="657">
        <f t="shared" si="20"/>
        <v>206715573.23499197</v>
      </c>
      <c r="U65" s="657">
        <f t="shared" si="20"/>
        <v>212446788.5694111</v>
      </c>
      <c r="V65" s="657">
        <f t="shared" si="20"/>
        <v>218336308.90761811</v>
      </c>
      <c r="W65" s="657">
        <f t="shared" si="20"/>
        <v>224388504.54767811</v>
      </c>
      <c r="X65" s="657">
        <f t="shared" si="20"/>
        <v>230607863.21568716</v>
      </c>
      <c r="Y65" s="657">
        <f t="shared" si="20"/>
        <v>236998988.70006156</v>
      </c>
      <c r="Z65" s="657">
        <f t="shared" si="20"/>
        <v>243566628.65193149</v>
      </c>
      <c r="AA65" s="657">
        <f t="shared" si="20"/>
        <v>250315651.38169587</v>
      </c>
      <c r="AB65" s="657">
        <f t="shared" si="20"/>
        <v>257251058.93541884</v>
      </c>
      <c r="AC65" s="657">
        <f t="shared" si="20"/>
        <v>264378001.20658264</v>
      </c>
      <c r="AD65" s="657">
        <f t="shared" si="20"/>
        <v>271701748.83474767</v>
      </c>
      <c r="AE65" s="657">
        <f t="shared" si="20"/>
        <v>279006657.12655699</v>
      </c>
      <c r="AF65" s="657">
        <f t="shared" si="20"/>
        <v>286507323.50585711</v>
      </c>
      <c r="AG65" s="657">
        <f t="shared" si="20"/>
        <v>294208988.28346169</v>
      </c>
      <c r="AH65" s="657">
        <f t="shared" ref="AH65:AL65" si="21">SUM(AH61:AH63)</f>
        <v>302117033.41460866</v>
      </c>
      <c r="AI65" s="657">
        <f t="shared" si="21"/>
        <v>310236971.87296653</v>
      </c>
      <c r="AJ65" s="657">
        <f t="shared" si="21"/>
        <v>318574486.06026161</v>
      </c>
      <c r="AK65" s="657">
        <f t="shared" si="21"/>
        <v>327135409.80516517</v>
      </c>
      <c r="AL65" s="657">
        <f t="shared" si="21"/>
        <v>335925710.340047</v>
      </c>
    </row>
    <row r="66" spans="2:38" x14ac:dyDescent="0.2">
      <c r="B66" s="647" t="s">
        <v>705</v>
      </c>
      <c r="C66" s="647" t="s">
        <v>9</v>
      </c>
      <c r="D66" s="648">
        <f t="shared" ref="D66:AG66" si="22">D56</f>
        <v>2025</v>
      </c>
      <c r="E66" s="648">
        <f t="shared" si="22"/>
        <v>2026</v>
      </c>
      <c r="F66" s="648">
        <f t="shared" si="22"/>
        <v>2027</v>
      </c>
      <c r="G66" s="648">
        <f t="shared" si="22"/>
        <v>2028</v>
      </c>
      <c r="H66" s="648">
        <f t="shared" si="22"/>
        <v>2029</v>
      </c>
      <c r="I66" s="648">
        <f t="shared" si="22"/>
        <v>2030</v>
      </c>
      <c r="J66" s="648">
        <f t="shared" si="22"/>
        <v>2031</v>
      </c>
      <c r="K66" s="648">
        <f t="shared" si="22"/>
        <v>2032</v>
      </c>
      <c r="L66" s="648">
        <f t="shared" si="22"/>
        <v>2033</v>
      </c>
      <c r="M66" s="648">
        <f t="shared" si="22"/>
        <v>2034</v>
      </c>
      <c r="N66" s="648">
        <f t="shared" si="22"/>
        <v>2035</v>
      </c>
      <c r="O66" s="648">
        <f t="shared" si="22"/>
        <v>2036</v>
      </c>
      <c r="P66" s="648">
        <f t="shared" si="22"/>
        <v>2037</v>
      </c>
      <c r="Q66" s="648">
        <f t="shared" si="22"/>
        <v>2038</v>
      </c>
      <c r="R66" s="648">
        <f t="shared" si="22"/>
        <v>2039</v>
      </c>
      <c r="S66" s="648">
        <f t="shared" si="22"/>
        <v>2040</v>
      </c>
      <c r="T66" s="648">
        <f t="shared" si="22"/>
        <v>2041</v>
      </c>
      <c r="U66" s="648">
        <f t="shared" si="22"/>
        <v>2042</v>
      </c>
      <c r="V66" s="648">
        <f t="shared" si="22"/>
        <v>2043</v>
      </c>
      <c r="W66" s="648">
        <f t="shared" si="22"/>
        <v>2044</v>
      </c>
      <c r="X66" s="648">
        <f t="shared" si="22"/>
        <v>2045</v>
      </c>
      <c r="Y66" s="648">
        <f t="shared" si="22"/>
        <v>2046</v>
      </c>
      <c r="Z66" s="648">
        <f t="shared" si="22"/>
        <v>2047</v>
      </c>
      <c r="AA66" s="648">
        <f t="shared" si="22"/>
        <v>2048</v>
      </c>
      <c r="AB66" s="648">
        <f t="shared" si="22"/>
        <v>2049</v>
      </c>
      <c r="AC66" s="648">
        <f t="shared" si="22"/>
        <v>2050</v>
      </c>
      <c r="AD66" s="648">
        <f t="shared" si="22"/>
        <v>2051</v>
      </c>
      <c r="AE66" s="648">
        <f t="shared" si="22"/>
        <v>2052</v>
      </c>
      <c r="AF66" s="648">
        <f t="shared" si="22"/>
        <v>2053</v>
      </c>
      <c r="AG66" s="648">
        <f t="shared" si="22"/>
        <v>2054</v>
      </c>
      <c r="AH66" s="648">
        <f t="shared" ref="AH66:AL66" si="23">AH56</f>
        <v>2055</v>
      </c>
      <c r="AI66" s="648">
        <f t="shared" si="23"/>
        <v>2056</v>
      </c>
      <c r="AJ66" s="648">
        <f t="shared" si="23"/>
        <v>2057</v>
      </c>
      <c r="AK66" s="648">
        <f t="shared" si="23"/>
        <v>2058</v>
      </c>
      <c r="AL66" s="648">
        <f t="shared" si="23"/>
        <v>2059</v>
      </c>
    </row>
    <row r="67" spans="2:38" x14ac:dyDescent="0.2">
      <c r="B67" s="666" t="s">
        <v>706</v>
      </c>
      <c r="C67" s="667">
        <f>SUM(D67:AL67)</f>
        <v>4492920.3329415768</v>
      </c>
      <c r="D67" s="651">
        <f>D48-D57</f>
        <v>0</v>
      </c>
      <c r="E67" s="651">
        <f>E48-E57</f>
        <v>0</v>
      </c>
      <c r="F67" s="651">
        <f t="shared" ref="F67:AG67" si="24">F48-F57</f>
        <v>0</v>
      </c>
      <c r="G67" s="651">
        <f t="shared" si="24"/>
        <v>142070.77678037994</v>
      </c>
      <c r="H67" s="651">
        <f t="shared" si="24"/>
        <v>142070.77678037994</v>
      </c>
      <c r="I67" s="651">
        <f t="shared" si="24"/>
        <v>142070.77678037994</v>
      </c>
      <c r="J67" s="651">
        <f t="shared" si="24"/>
        <v>142070.77678037994</v>
      </c>
      <c r="K67" s="651">
        <f t="shared" si="24"/>
        <v>142070.77678037994</v>
      </c>
      <c r="L67" s="651">
        <f t="shared" si="24"/>
        <v>142070.77678037994</v>
      </c>
      <c r="M67" s="651">
        <f t="shared" si="24"/>
        <v>142070.77678037994</v>
      </c>
      <c r="N67" s="651">
        <f t="shared" si="24"/>
        <v>142070.77678037994</v>
      </c>
      <c r="O67" s="651">
        <f t="shared" si="24"/>
        <v>142070.7767803818</v>
      </c>
      <c r="P67" s="651">
        <f t="shared" si="24"/>
        <v>142070.7767803818</v>
      </c>
      <c r="Q67" s="651">
        <f t="shared" si="24"/>
        <v>142070.7767803818</v>
      </c>
      <c r="R67" s="651">
        <f t="shared" si="24"/>
        <v>142070.7767803818</v>
      </c>
      <c r="S67" s="651">
        <f t="shared" si="24"/>
        <v>142070.7767803818</v>
      </c>
      <c r="T67" s="651">
        <f t="shared" si="24"/>
        <v>141786.63522681966</v>
      </c>
      <c r="U67" s="651">
        <f t="shared" si="24"/>
        <v>141503.06195636466</v>
      </c>
      <c r="V67" s="651">
        <f t="shared" si="24"/>
        <v>141220.05583245307</v>
      </c>
      <c r="W67" s="651">
        <f t="shared" si="24"/>
        <v>140937.61572078988</v>
      </c>
      <c r="X67" s="651">
        <f t="shared" si="24"/>
        <v>140655.74048934504</v>
      </c>
      <c r="Y67" s="651">
        <f t="shared" si="24"/>
        <v>140374.4290083684</v>
      </c>
      <c r="Z67" s="651">
        <f t="shared" si="24"/>
        <v>140093.68015035242</v>
      </c>
      <c r="AA67" s="651">
        <f t="shared" si="24"/>
        <v>139813.4927900508</v>
      </c>
      <c r="AB67" s="651">
        <f t="shared" si="24"/>
        <v>139533.86580447108</v>
      </c>
      <c r="AC67" s="651">
        <f t="shared" si="24"/>
        <v>139254.79807286337</v>
      </c>
      <c r="AD67" s="651">
        <f t="shared" si="24"/>
        <v>138976.28847671673</v>
      </c>
      <c r="AE67" s="651">
        <f t="shared" si="24"/>
        <v>138698.33589976281</v>
      </c>
      <c r="AF67" s="651">
        <f t="shared" si="24"/>
        <v>138420.93922796473</v>
      </c>
      <c r="AG67" s="651">
        <f t="shared" si="24"/>
        <v>138144.09734950587</v>
      </c>
      <c r="AH67" s="651">
        <f t="shared" ref="AH67:AL67" si="25">AH48-AH57</f>
        <v>137867.80915480852</v>
      </c>
      <c r="AI67" s="651">
        <f t="shared" si="25"/>
        <v>137592.07353649661</v>
      </c>
      <c r="AJ67" s="651">
        <f t="shared" si="25"/>
        <v>137316.88938942552</v>
      </c>
      <c r="AK67" s="651">
        <f t="shared" si="25"/>
        <v>137042.25561064482</v>
      </c>
      <c r="AL67" s="651">
        <f t="shared" si="25"/>
        <v>136768.17109942436</v>
      </c>
    </row>
    <row r="68" spans="2:38" x14ac:dyDescent="0.2">
      <c r="B68" s="666" t="s">
        <v>707</v>
      </c>
      <c r="C68" s="667">
        <f t="shared" ref="C68:C72" si="26">SUM(D68:AL68)</f>
        <v>134281784.52030063</v>
      </c>
      <c r="D68" s="651">
        <f t="shared" ref="D68:AG71" si="27">D50-D60</f>
        <v>0</v>
      </c>
      <c r="E68" s="651">
        <f>E50-E60</f>
        <v>0</v>
      </c>
      <c r="F68" s="651">
        <f>F50-F60</f>
        <v>0</v>
      </c>
      <c r="G68" s="651">
        <f t="shared" si="27"/>
        <v>4246128.5801976323</v>
      </c>
      <c r="H68" s="651">
        <f t="shared" si="27"/>
        <v>4246128.5801977515</v>
      </c>
      <c r="I68" s="651">
        <f t="shared" si="27"/>
        <v>4246128.5801977515</v>
      </c>
      <c r="J68" s="651">
        <f t="shared" si="27"/>
        <v>4246128.5801977515</v>
      </c>
      <c r="K68" s="651">
        <f t="shared" si="27"/>
        <v>4246128.5801977515</v>
      </c>
      <c r="L68" s="651">
        <f t="shared" si="27"/>
        <v>4246128.5801976919</v>
      </c>
      <c r="M68" s="651">
        <f t="shared" si="27"/>
        <v>4246128.5801976919</v>
      </c>
      <c r="N68" s="651">
        <f t="shared" si="27"/>
        <v>4246128.5801976919</v>
      </c>
      <c r="O68" s="651">
        <f t="shared" si="27"/>
        <v>4246128.5801977515</v>
      </c>
      <c r="P68" s="651">
        <f t="shared" si="27"/>
        <v>4246128.5801977515</v>
      </c>
      <c r="Q68" s="651">
        <f t="shared" si="27"/>
        <v>4246128.5801978111</v>
      </c>
      <c r="R68" s="651">
        <f t="shared" si="27"/>
        <v>4246128.5801977515</v>
      </c>
      <c r="S68" s="651">
        <f t="shared" si="27"/>
        <v>4246128.5801978111</v>
      </c>
      <c r="T68" s="651">
        <f t="shared" si="27"/>
        <v>4237636.3230373859</v>
      </c>
      <c r="U68" s="651">
        <f t="shared" si="27"/>
        <v>4229161.0503913164</v>
      </c>
      <c r="V68" s="651">
        <f t="shared" si="27"/>
        <v>4220702.7282904387</v>
      </c>
      <c r="W68" s="651">
        <f t="shared" si="27"/>
        <v>4212261.3228340149</v>
      </c>
      <c r="X68" s="651">
        <f t="shared" si="27"/>
        <v>4203836.8001881838</v>
      </c>
      <c r="Y68" s="651">
        <f t="shared" si="27"/>
        <v>4195429.1265878677</v>
      </c>
      <c r="Z68" s="651">
        <f t="shared" si="27"/>
        <v>4187038.2683346272</v>
      </c>
      <c r="AA68" s="651">
        <f t="shared" si="27"/>
        <v>4178664.1917979717</v>
      </c>
      <c r="AB68" s="651">
        <f t="shared" si="27"/>
        <v>4170306.8634144068</v>
      </c>
      <c r="AC68" s="651">
        <f t="shared" si="27"/>
        <v>4161966.2496876717</v>
      </c>
      <c r="AD68" s="651">
        <f t="shared" si="27"/>
        <v>4153642.3171881437</v>
      </c>
      <c r="AE68" s="651">
        <f t="shared" si="27"/>
        <v>4145335.0325539112</v>
      </c>
      <c r="AF68" s="651">
        <f t="shared" si="27"/>
        <v>4137044.3624888659</v>
      </c>
      <c r="AG68" s="651">
        <f t="shared" si="27"/>
        <v>4128770.2737637758</v>
      </c>
      <c r="AH68" s="651">
        <f t="shared" ref="AH68:AL68" si="28">AH50-AH60</f>
        <v>4120512.7332162857</v>
      </c>
      <c r="AI68" s="651">
        <f t="shared" si="28"/>
        <v>4112271.7077497244</v>
      </c>
      <c r="AJ68" s="651">
        <f t="shared" si="28"/>
        <v>4104047.1643342972</v>
      </c>
      <c r="AK68" s="651">
        <f t="shared" si="28"/>
        <v>4095839.0700055361</v>
      </c>
      <c r="AL68" s="651">
        <f t="shared" si="28"/>
        <v>4087647.3918656111</v>
      </c>
    </row>
    <row r="69" spans="2:38" x14ac:dyDescent="0.2">
      <c r="B69" s="668" t="s">
        <v>703</v>
      </c>
      <c r="C69" s="667">
        <f t="shared" si="26"/>
        <v>25302756.506074116</v>
      </c>
      <c r="D69" s="651">
        <f t="shared" si="27"/>
        <v>0</v>
      </c>
      <c r="E69" s="651">
        <f>E51-E61</f>
        <v>0</v>
      </c>
      <c r="F69" s="651">
        <f t="shared" si="27"/>
        <v>0</v>
      </c>
      <c r="G69" s="651">
        <f t="shared" si="27"/>
        <v>666237.88220073283</v>
      </c>
      <c r="H69" s="651">
        <f t="shared" si="27"/>
        <v>675831.70702394843</v>
      </c>
      <c r="I69" s="651">
        <f t="shared" si="27"/>
        <v>684482.35306988657</v>
      </c>
      <c r="J69" s="651">
        <f t="shared" si="27"/>
        <v>693243.72729733586</v>
      </c>
      <c r="K69" s="651">
        <f t="shared" si="27"/>
        <v>701562.65213194489</v>
      </c>
      <c r="L69" s="651">
        <f t="shared" si="27"/>
        <v>709981.40343925357</v>
      </c>
      <c r="M69" s="651">
        <f t="shared" si="27"/>
        <v>718501.17968903482</v>
      </c>
      <c r="N69" s="651">
        <f t="shared" si="27"/>
        <v>727123.19343408942</v>
      </c>
      <c r="O69" s="651">
        <f t="shared" si="27"/>
        <v>735848.67131027579</v>
      </c>
      <c r="P69" s="651">
        <f t="shared" si="27"/>
        <v>744678.85544486344</v>
      </c>
      <c r="Q69" s="651">
        <f t="shared" si="27"/>
        <v>753615.00204822421</v>
      </c>
      <c r="R69" s="651">
        <f t="shared" si="27"/>
        <v>762658.3814136833</v>
      </c>
      <c r="S69" s="651">
        <f t="shared" si="27"/>
        <v>771810.28214275837</v>
      </c>
      <c r="T69" s="651">
        <f t="shared" si="27"/>
        <v>779509.86150054634</v>
      </c>
      <c r="U69" s="651">
        <f t="shared" si="27"/>
        <v>786041.53063413501</v>
      </c>
      <c r="V69" s="651">
        <f t="shared" si="27"/>
        <v>792627.92932926118</v>
      </c>
      <c r="W69" s="651">
        <f t="shared" si="27"/>
        <v>799269.51776427031</v>
      </c>
      <c r="X69" s="651">
        <f t="shared" si="27"/>
        <v>805966.75647805631</v>
      </c>
      <c r="Y69" s="651">
        <f t="shared" si="27"/>
        <v>812720.11330091953</v>
      </c>
      <c r="Z69" s="651">
        <f t="shared" si="27"/>
        <v>819530.0577031672</v>
      </c>
      <c r="AA69" s="651">
        <f t="shared" si="27"/>
        <v>826397.06352695823</v>
      </c>
      <c r="AB69" s="651">
        <f t="shared" si="27"/>
        <v>833321.61030179262</v>
      </c>
      <c r="AC69" s="651">
        <f t="shared" si="27"/>
        <v>840304.17902268469</v>
      </c>
      <c r="AD69" s="651">
        <f t="shared" si="27"/>
        <v>847345.25624367595</v>
      </c>
      <c r="AE69" s="651">
        <f t="shared" si="27"/>
        <v>853768.81177598238</v>
      </c>
      <c r="AF69" s="651">
        <f t="shared" si="27"/>
        <v>860241.06276631355</v>
      </c>
      <c r="AG69" s="651">
        <f t="shared" si="27"/>
        <v>866762.37812507153</v>
      </c>
      <c r="AH69" s="651">
        <f t="shared" ref="AH69:AL69" si="29">AH51-AH61</f>
        <v>873333.13062354922</v>
      </c>
      <c r="AI69" s="651">
        <f t="shared" si="29"/>
        <v>879953.69410806894</v>
      </c>
      <c r="AJ69" s="651">
        <f t="shared" si="29"/>
        <v>886624.44755372405</v>
      </c>
      <c r="AK69" s="651">
        <f t="shared" si="29"/>
        <v>893345.76955929399</v>
      </c>
      <c r="AL69" s="651">
        <f t="shared" si="29"/>
        <v>900118.04511061311</v>
      </c>
    </row>
    <row r="70" spans="2:38" x14ac:dyDescent="0.2">
      <c r="B70" s="668" t="s">
        <v>682</v>
      </c>
      <c r="C70" s="667">
        <f t="shared" si="26"/>
        <v>12983423.28614492</v>
      </c>
      <c r="D70" s="651">
        <f t="shared" si="27"/>
        <v>0</v>
      </c>
      <c r="E70" s="651">
        <f t="shared" si="27"/>
        <v>0</v>
      </c>
      <c r="F70" s="651">
        <f t="shared" si="27"/>
        <v>0</v>
      </c>
      <c r="G70" s="651">
        <f t="shared" si="27"/>
        <v>341861.89881225675</v>
      </c>
      <c r="H70" s="651">
        <f t="shared" si="27"/>
        <v>346784.70989480615</v>
      </c>
      <c r="I70" s="651">
        <f t="shared" si="27"/>
        <v>351223.55255421251</v>
      </c>
      <c r="J70" s="651">
        <f t="shared" si="27"/>
        <v>355719.21152908355</v>
      </c>
      <c r="K70" s="651">
        <f t="shared" si="27"/>
        <v>359987.84424386919</v>
      </c>
      <c r="L70" s="651">
        <f t="shared" si="27"/>
        <v>364307.69961556792</v>
      </c>
      <c r="M70" s="651">
        <f t="shared" si="27"/>
        <v>368679.39294662327</v>
      </c>
      <c r="N70" s="651">
        <f t="shared" si="27"/>
        <v>373103.54462460428</v>
      </c>
      <c r="O70" s="651">
        <f t="shared" si="27"/>
        <v>377580.78520741314</v>
      </c>
      <c r="P70" s="651">
        <f t="shared" si="27"/>
        <v>382111.75542318821</v>
      </c>
      <c r="Q70" s="651">
        <f t="shared" si="27"/>
        <v>386697.09600010514</v>
      </c>
      <c r="R70" s="651">
        <f t="shared" si="27"/>
        <v>391337.46292172372</v>
      </c>
      <c r="S70" s="651">
        <f t="shared" si="27"/>
        <v>396033.51217167825</v>
      </c>
      <c r="T70" s="651">
        <f t="shared" si="27"/>
        <v>399984.34315900505</v>
      </c>
      <c r="U70" s="651">
        <f t="shared" si="27"/>
        <v>403335.89413493872</v>
      </c>
      <c r="V70" s="651">
        <f t="shared" si="27"/>
        <v>406715.5251834318</v>
      </c>
      <c r="W70" s="651">
        <f t="shared" si="27"/>
        <v>410123.47841821611</v>
      </c>
      <c r="X70" s="651">
        <f t="shared" si="27"/>
        <v>413559.98315948248</v>
      </c>
      <c r="Y70" s="651">
        <f t="shared" si="27"/>
        <v>417025.2861963436</v>
      </c>
      <c r="Z70" s="651">
        <f t="shared" si="27"/>
        <v>420519.6265283078</v>
      </c>
      <c r="AA70" s="651">
        <f t="shared" si="27"/>
        <v>424043.24543967098</v>
      </c>
      <c r="AB70" s="651">
        <f t="shared" si="27"/>
        <v>427596.38646429032</v>
      </c>
      <c r="AC70" s="651">
        <f t="shared" si="27"/>
        <v>431179.30033530295</v>
      </c>
      <c r="AD70" s="651">
        <f t="shared" si="27"/>
        <v>434792.239926368</v>
      </c>
      <c r="AE70" s="651">
        <f t="shared" si="27"/>
        <v>438088.31222394109</v>
      </c>
      <c r="AF70" s="651">
        <f t="shared" si="27"/>
        <v>441409.37455870211</v>
      </c>
      <c r="AG70" s="651">
        <f t="shared" si="27"/>
        <v>444755.60974849761</v>
      </c>
      <c r="AH70" s="651">
        <f t="shared" ref="AH70:AL70" si="30">AH52-AH62</f>
        <v>448127.21324069798</v>
      </c>
      <c r="AI70" s="651">
        <f t="shared" si="30"/>
        <v>451524.37820151448</v>
      </c>
      <c r="AJ70" s="651">
        <f t="shared" si="30"/>
        <v>454947.29552893341</v>
      </c>
      <c r="AK70" s="651">
        <f t="shared" si="30"/>
        <v>458396.15877039731</v>
      </c>
      <c r="AL70" s="651">
        <f t="shared" si="30"/>
        <v>461871.16898174584</v>
      </c>
    </row>
    <row r="71" spans="2:38" x14ac:dyDescent="0.2">
      <c r="B71" s="668" t="s">
        <v>683</v>
      </c>
      <c r="C71" s="667">
        <f t="shared" si="26"/>
        <v>13556513.271987237</v>
      </c>
      <c r="D71" s="651">
        <f t="shared" si="27"/>
        <v>0</v>
      </c>
      <c r="E71" s="651">
        <f t="shared" si="27"/>
        <v>0</v>
      </c>
      <c r="F71" s="651">
        <f t="shared" si="27"/>
        <v>0</v>
      </c>
      <c r="G71" s="651">
        <f t="shared" si="27"/>
        <v>356951.7268531099</v>
      </c>
      <c r="H71" s="651">
        <f t="shared" si="27"/>
        <v>362091.8512005955</v>
      </c>
      <c r="I71" s="651">
        <f t="shared" si="27"/>
        <v>366726.65793317556</v>
      </c>
      <c r="J71" s="651">
        <f t="shared" si="27"/>
        <v>371420.76003520191</v>
      </c>
      <c r="K71" s="651">
        <f t="shared" si="27"/>
        <v>375877.81823566556</v>
      </c>
      <c r="L71" s="651">
        <f t="shared" si="27"/>
        <v>380388.32481438667</v>
      </c>
      <c r="M71" s="651">
        <f t="shared" si="27"/>
        <v>384952.96765270084</v>
      </c>
      <c r="N71" s="651">
        <f t="shared" si="27"/>
        <v>389572.4346319139</v>
      </c>
      <c r="O71" s="651">
        <f t="shared" si="27"/>
        <v>394247.27605710179</v>
      </c>
      <c r="P71" s="651">
        <f t="shared" si="27"/>
        <v>398978.24859768897</v>
      </c>
      <c r="Q71" s="651">
        <f t="shared" si="27"/>
        <v>403765.97134686261</v>
      </c>
      <c r="R71" s="651">
        <f t="shared" si="27"/>
        <v>408611.13218593597</v>
      </c>
      <c r="S71" s="651">
        <f t="shared" si="27"/>
        <v>413514.48778437823</v>
      </c>
      <c r="T71" s="651">
        <f t="shared" si="27"/>
        <v>417639.70392088592</v>
      </c>
      <c r="U71" s="651">
        <f t="shared" si="27"/>
        <v>421139.18959619105</v>
      </c>
      <c r="V71" s="651">
        <f t="shared" si="27"/>
        <v>424667.99832782894</v>
      </c>
      <c r="W71" s="651">
        <f t="shared" si="27"/>
        <v>428226.38651888072</v>
      </c>
      <c r="X71" s="651">
        <f t="shared" si="27"/>
        <v>431814.60769867897</v>
      </c>
      <c r="Y71" s="651">
        <f t="shared" si="27"/>
        <v>435432.84457208216</v>
      </c>
      <c r="Z71" s="651">
        <f t="shared" si="27"/>
        <v>439081.41320728511</v>
      </c>
      <c r="AA71" s="651">
        <f t="shared" si="27"/>
        <v>442760.55860674381</v>
      </c>
      <c r="AB71" s="651">
        <f t="shared" si="27"/>
        <v>446470.52296222746</v>
      </c>
      <c r="AC71" s="651">
        <f t="shared" si="27"/>
        <v>450211.61309505999</v>
      </c>
      <c r="AD71" s="651">
        <f t="shared" si="27"/>
        <v>453983.99792793393</v>
      </c>
      <c r="AE71" s="651">
        <f t="shared" si="27"/>
        <v>457425.54155321419</v>
      </c>
      <c r="AF71" s="651">
        <f t="shared" si="27"/>
        <v>460893.1900960952</v>
      </c>
      <c r="AG71" s="651">
        <f t="shared" si="27"/>
        <v>464387.14331807196</v>
      </c>
      <c r="AH71" s="651">
        <f t="shared" ref="AH71:AL71" si="31">AH53-AH63</f>
        <v>467907.59863869846</v>
      </c>
      <c r="AI71" s="651">
        <f t="shared" si="31"/>
        <v>471454.68452890217</v>
      </c>
      <c r="AJ71" s="651">
        <f t="shared" si="31"/>
        <v>475028.66064943373</v>
      </c>
      <c r="AK71" s="651">
        <f t="shared" si="31"/>
        <v>478629.78382445872</v>
      </c>
      <c r="AL71" s="651">
        <f t="shared" si="31"/>
        <v>482258.17561584711</v>
      </c>
    </row>
    <row r="72" spans="2:38" x14ac:dyDescent="0.2">
      <c r="B72" s="669" t="s">
        <v>59</v>
      </c>
      <c r="C72" s="670">
        <f t="shared" si="26"/>
        <v>51842693.064206272</v>
      </c>
      <c r="D72" s="670">
        <f t="shared" ref="D72:AG72" si="32">SUM(D69:D71)</f>
        <v>0</v>
      </c>
      <c r="E72" s="670">
        <f t="shared" si="32"/>
        <v>0</v>
      </c>
      <c r="F72" s="670">
        <f t="shared" si="32"/>
        <v>0</v>
      </c>
      <c r="G72" s="670">
        <f>SUM(G69:G71)</f>
        <v>1365051.5078660995</v>
      </c>
      <c r="H72" s="670">
        <f t="shared" si="32"/>
        <v>1384708.2681193501</v>
      </c>
      <c r="I72" s="670">
        <f t="shared" si="32"/>
        <v>1402432.5635572746</v>
      </c>
      <c r="J72" s="670">
        <f t="shared" si="32"/>
        <v>1420383.6988616213</v>
      </c>
      <c r="K72" s="670">
        <f t="shared" si="32"/>
        <v>1437428.3146114796</v>
      </c>
      <c r="L72" s="670">
        <f t="shared" si="32"/>
        <v>1454677.4278692082</v>
      </c>
      <c r="M72" s="670">
        <f t="shared" si="32"/>
        <v>1472133.5402883589</v>
      </c>
      <c r="N72" s="670">
        <f t="shared" si="32"/>
        <v>1489799.1726906076</v>
      </c>
      <c r="O72" s="670">
        <f t="shared" si="32"/>
        <v>1507676.7325747907</v>
      </c>
      <c r="P72" s="670">
        <f t="shared" si="32"/>
        <v>1525768.8594657406</v>
      </c>
      <c r="Q72" s="670">
        <f t="shared" si="32"/>
        <v>1544078.069395192</v>
      </c>
      <c r="R72" s="670">
        <f t="shared" si="32"/>
        <v>1562606.976521343</v>
      </c>
      <c r="S72" s="670">
        <f t="shared" si="32"/>
        <v>1581358.2820988148</v>
      </c>
      <c r="T72" s="670">
        <f t="shared" si="32"/>
        <v>1597133.9085804373</v>
      </c>
      <c r="U72" s="670">
        <f t="shared" si="32"/>
        <v>1610516.6143652648</v>
      </c>
      <c r="V72" s="670">
        <f t="shared" si="32"/>
        <v>1624011.4528405219</v>
      </c>
      <c r="W72" s="670">
        <f t="shared" si="32"/>
        <v>1637619.3827013671</v>
      </c>
      <c r="X72" s="670">
        <f t="shared" si="32"/>
        <v>1651341.3473362178</v>
      </c>
      <c r="Y72" s="670">
        <f t="shared" si="32"/>
        <v>1665178.2440693453</v>
      </c>
      <c r="Z72" s="670">
        <f t="shared" si="32"/>
        <v>1679131.0974387601</v>
      </c>
      <c r="AA72" s="670">
        <f t="shared" si="32"/>
        <v>1693200.867573373</v>
      </c>
      <c r="AB72" s="670">
        <f t="shared" si="32"/>
        <v>1707388.5197283104</v>
      </c>
      <c r="AC72" s="670">
        <f t="shared" si="32"/>
        <v>1721695.0924530476</v>
      </c>
      <c r="AD72" s="670">
        <f t="shared" si="32"/>
        <v>1736121.4940979779</v>
      </c>
      <c r="AE72" s="670">
        <f t="shared" si="32"/>
        <v>1749282.6655531377</v>
      </c>
      <c r="AF72" s="670">
        <f t="shared" si="32"/>
        <v>1762543.6274211109</v>
      </c>
      <c r="AG72" s="670">
        <f t="shared" si="32"/>
        <v>1775905.1311916411</v>
      </c>
      <c r="AH72" s="670">
        <f t="shared" ref="AH72:AL72" si="33">SUM(AH69:AH71)</f>
        <v>1789367.9425029457</v>
      </c>
      <c r="AI72" s="670">
        <f t="shared" si="33"/>
        <v>1802932.7568384856</v>
      </c>
      <c r="AJ72" s="670">
        <f t="shared" si="33"/>
        <v>1816600.4037320912</v>
      </c>
      <c r="AK72" s="670">
        <f t="shared" si="33"/>
        <v>1830371.71215415</v>
      </c>
      <c r="AL72" s="670">
        <f t="shared" si="33"/>
        <v>1844247.3897082061</v>
      </c>
    </row>
    <row r="75" spans="2:38" x14ac:dyDescent="0.2">
      <c r="C75" s="388"/>
    </row>
  </sheetData>
  <sheetProtection algorithmName="SHA-512" hashValue="QbH3LEVL0T6EVZbFVuAP5qbyILJB8oVA5mtUYjL1sty/Zc/0rz4PjLAzFHMlfAMLgFV65GnshdjvAB1n/cKFVQ==" saltValue="vGUwOWqRExdm0FhjhxwSFw==" spinCount="100000" sheet="1" objects="1" scenarios="1"/>
  <mergeCells count="10">
    <mergeCell ref="B5:B6"/>
    <mergeCell ref="C5:D5"/>
    <mergeCell ref="C6:D6"/>
    <mergeCell ref="C7:D7"/>
    <mergeCell ref="C8:D8"/>
    <mergeCell ref="C9:D9"/>
    <mergeCell ref="C10:D10"/>
    <mergeCell ref="B23:D23"/>
    <mergeCell ref="B29:D29"/>
    <mergeCell ref="B37:C37"/>
  </mergeCells>
  <pageMargins left="0.7" right="0.7" top="0.75" bottom="0.75" header="0.3" footer="0.3"/>
  <pageSetup paperSize="9" scale="75" orientation="landscape" r:id="rId1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B2:AQ78"/>
  <sheetViews>
    <sheetView zoomScale="90" zoomScaleNormal="90" workbookViewId="0"/>
  </sheetViews>
  <sheetFormatPr defaultColWidth="9.140625" defaultRowHeight="11.25" x14ac:dyDescent="0.2"/>
  <cols>
    <col min="1" max="1" width="3.7109375" style="30" customWidth="1"/>
    <col min="2" max="2" width="42.5703125" style="30" customWidth="1"/>
    <col min="3" max="3" width="11.7109375" style="30" customWidth="1"/>
    <col min="4" max="43" width="5.5703125" style="30" bestFit="1" customWidth="1"/>
    <col min="44" max="16384" width="9.140625" style="30"/>
  </cols>
  <sheetData>
    <row r="2" spans="2:43" x14ac:dyDescent="0.2">
      <c r="B2" s="31"/>
      <c r="C2" s="31"/>
      <c r="D2" s="31" t="s">
        <v>10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</row>
    <row r="3" spans="2:43" x14ac:dyDescent="0.2">
      <c r="B3" s="32" t="s">
        <v>429</v>
      </c>
      <c r="C3" s="32"/>
      <c r="D3" s="33">
        <v>1</v>
      </c>
      <c r="E3" s="33">
        <v>2</v>
      </c>
      <c r="F3" s="33">
        <v>3</v>
      </c>
      <c r="G3" s="33">
        <v>4</v>
      </c>
      <c r="H3" s="33">
        <v>5</v>
      </c>
      <c r="I3" s="33">
        <v>6</v>
      </c>
      <c r="J3" s="33">
        <v>7</v>
      </c>
      <c r="K3" s="33">
        <v>8</v>
      </c>
      <c r="L3" s="33">
        <v>9</v>
      </c>
      <c r="M3" s="33">
        <v>10</v>
      </c>
      <c r="N3" s="33">
        <v>11</v>
      </c>
      <c r="O3" s="33">
        <v>12</v>
      </c>
      <c r="P3" s="33">
        <v>13</v>
      </c>
      <c r="Q3" s="33">
        <v>14</v>
      </c>
      <c r="R3" s="33">
        <v>15</v>
      </c>
      <c r="S3" s="33">
        <v>16</v>
      </c>
      <c r="T3" s="33">
        <v>17</v>
      </c>
      <c r="U3" s="33">
        <v>18</v>
      </c>
      <c r="V3" s="33">
        <v>19</v>
      </c>
      <c r="W3" s="33">
        <v>20</v>
      </c>
      <c r="X3" s="33">
        <v>21</v>
      </c>
      <c r="Y3" s="33">
        <v>22</v>
      </c>
      <c r="Z3" s="33">
        <v>23</v>
      </c>
      <c r="AA3" s="33">
        <v>24</v>
      </c>
      <c r="AB3" s="33">
        <v>25</v>
      </c>
      <c r="AC3" s="33">
        <v>26</v>
      </c>
      <c r="AD3" s="33">
        <v>27</v>
      </c>
      <c r="AE3" s="33">
        <v>28</v>
      </c>
      <c r="AF3" s="33">
        <v>29</v>
      </c>
      <c r="AG3" s="33">
        <v>30</v>
      </c>
      <c r="AH3" s="33">
        <v>31</v>
      </c>
      <c r="AI3" s="33">
        <v>32</v>
      </c>
      <c r="AJ3" s="33">
        <v>33</v>
      </c>
      <c r="AK3" s="33">
        <v>34</v>
      </c>
      <c r="AL3" s="33">
        <v>35</v>
      </c>
      <c r="AM3" s="33">
        <v>36</v>
      </c>
      <c r="AN3" s="33">
        <v>37</v>
      </c>
      <c r="AO3" s="33">
        <v>38</v>
      </c>
      <c r="AP3" s="33">
        <v>39</v>
      </c>
      <c r="AQ3" s="33">
        <v>40</v>
      </c>
    </row>
    <row r="4" spans="2:43" x14ac:dyDescent="0.2">
      <c r="B4" s="34" t="s">
        <v>33</v>
      </c>
      <c r="C4" s="272" t="s">
        <v>9</v>
      </c>
      <c r="D4" s="35">
        <f>Parametre!C13</f>
        <v>2025</v>
      </c>
      <c r="E4" s="35">
        <f>D4+$D$3</f>
        <v>2026</v>
      </c>
      <c r="F4" s="35">
        <f t="shared" ref="F4:AG4" si="0">E4+$D$3</f>
        <v>2027</v>
      </c>
      <c r="G4" s="35">
        <f t="shared" si="0"/>
        <v>2028</v>
      </c>
      <c r="H4" s="35">
        <f t="shared" si="0"/>
        <v>2029</v>
      </c>
      <c r="I4" s="35">
        <f t="shared" si="0"/>
        <v>2030</v>
      </c>
      <c r="J4" s="35">
        <f t="shared" si="0"/>
        <v>2031</v>
      </c>
      <c r="K4" s="35">
        <f t="shared" si="0"/>
        <v>2032</v>
      </c>
      <c r="L4" s="35">
        <f t="shared" si="0"/>
        <v>2033</v>
      </c>
      <c r="M4" s="35">
        <f t="shared" si="0"/>
        <v>2034</v>
      </c>
      <c r="N4" s="35">
        <f t="shared" si="0"/>
        <v>2035</v>
      </c>
      <c r="O4" s="35">
        <f t="shared" si="0"/>
        <v>2036</v>
      </c>
      <c r="P4" s="35">
        <f t="shared" si="0"/>
        <v>2037</v>
      </c>
      <c r="Q4" s="35">
        <f t="shared" si="0"/>
        <v>2038</v>
      </c>
      <c r="R4" s="35">
        <f t="shared" si="0"/>
        <v>2039</v>
      </c>
      <c r="S4" s="35">
        <f t="shared" si="0"/>
        <v>2040</v>
      </c>
      <c r="T4" s="35">
        <f t="shared" si="0"/>
        <v>2041</v>
      </c>
      <c r="U4" s="35">
        <f t="shared" si="0"/>
        <v>2042</v>
      </c>
      <c r="V4" s="35">
        <f t="shared" si="0"/>
        <v>2043</v>
      </c>
      <c r="W4" s="35">
        <f t="shared" si="0"/>
        <v>2044</v>
      </c>
      <c r="X4" s="35">
        <f t="shared" si="0"/>
        <v>2045</v>
      </c>
      <c r="Y4" s="35">
        <f t="shared" si="0"/>
        <v>2046</v>
      </c>
      <c r="Z4" s="35">
        <f t="shared" si="0"/>
        <v>2047</v>
      </c>
      <c r="AA4" s="35">
        <f t="shared" si="0"/>
        <v>2048</v>
      </c>
      <c r="AB4" s="35">
        <f t="shared" si="0"/>
        <v>2049</v>
      </c>
      <c r="AC4" s="35">
        <f t="shared" si="0"/>
        <v>2050</v>
      </c>
      <c r="AD4" s="35">
        <f t="shared" si="0"/>
        <v>2051</v>
      </c>
      <c r="AE4" s="35">
        <f t="shared" si="0"/>
        <v>2052</v>
      </c>
      <c r="AF4" s="35">
        <f t="shared" si="0"/>
        <v>2053</v>
      </c>
      <c r="AG4" s="35">
        <f t="shared" si="0"/>
        <v>2054</v>
      </c>
      <c r="AH4" s="35">
        <f t="shared" ref="AH4" si="1">AG4+$D$3</f>
        <v>2055</v>
      </c>
      <c r="AI4" s="35">
        <f t="shared" ref="AI4" si="2">AH4+$D$3</f>
        <v>2056</v>
      </c>
      <c r="AJ4" s="35">
        <f t="shared" ref="AJ4" si="3">AI4+$D$3</f>
        <v>2057</v>
      </c>
      <c r="AK4" s="35">
        <f t="shared" ref="AK4" si="4">AJ4+$D$3</f>
        <v>2058</v>
      </c>
      <c r="AL4" s="35">
        <f t="shared" ref="AL4" si="5">AK4+$D$3</f>
        <v>2059</v>
      </c>
      <c r="AM4" s="35">
        <f t="shared" ref="AM4" si="6">AL4+$D$3</f>
        <v>2060</v>
      </c>
      <c r="AN4" s="35">
        <f t="shared" ref="AN4" si="7">AM4+$D$3</f>
        <v>2061</v>
      </c>
      <c r="AO4" s="35">
        <f t="shared" ref="AO4" si="8">AN4+$D$3</f>
        <v>2062</v>
      </c>
      <c r="AP4" s="35">
        <f t="shared" ref="AP4" si="9">AO4+$D$3</f>
        <v>2063</v>
      </c>
      <c r="AQ4" s="35">
        <f t="shared" ref="AQ4" si="10">AP4+$D$3</f>
        <v>2064</v>
      </c>
    </row>
    <row r="5" spans="2:43" x14ac:dyDescent="0.2">
      <c r="B5" s="33" t="s">
        <v>278</v>
      </c>
      <c r="C5" s="37">
        <f>SUM(D5:AQ5)</f>
        <v>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</row>
    <row r="6" spans="2:43" x14ac:dyDescent="0.2">
      <c r="B6" s="33" t="s">
        <v>277</v>
      </c>
      <c r="C6" s="37">
        <f t="shared" ref="C6:C7" si="11">SUM(D6:AQ6)</f>
        <v>0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</row>
    <row r="7" spans="2:43" x14ac:dyDescent="0.2">
      <c r="B7" s="32" t="s">
        <v>9</v>
      </c>
      <c r="C7" s="123">
        <f t="shared" si="11"/>
        <v>0</v>
      </c>
      <c r="D7" s="123">
        <f t="shared" ref="D7:AG7" si="12">SUM(D5:D6)</f>
        <v>0</v>
      </c>
      <c r="E7" s="123">
        <f t="shared" si="12"/>
        <v>0</v>
      </c>
      <c r="F7" s="123">
        <f t="shared" si="12"/>
        <v>0</v>
      </c>
      <c r="G7" s="123">
        <f t="shared" si="12"/>
        <v>0</v>
      </c>
      <c r="H7" s="123">
        <f t="shared" si="12"/>
        <v>0</v>
      </c>
      <c r="I7" s="123">
        <f t="shared" si="12"/>
        <v>0</v>
      </c>
      <c r="J7" s="123">
        <f t="shared" si="12"/>
        <v>0</v>
      </c>
      <c r="K7" s="123">
        <f t="shared" si="12"/>
        <v>0</v>
      </c>
      <c r="L7" s="123">
        <f t="shared" si="12"/>
        <v>0</v>
      </c>
      <c r="M7" s="123">
        <f t="shared" si="12"/>
        <v>0</v>
      </c>
      <c r="N7" s="123">
        <f t="shared" si="12"/>
        <v>0</v>
      </c>
      <c r="O7" s="123">
        <f t="shared" si="12"/>
        <v>0</v>
      </c>
      <c r="P7" s="123">
        <f t="shared" si="12"/>
        <v>0</v>
      </c>
      <c r="Q7" s="123">
        <f t="shared" si="12"/>
        <v>0</v>
      </c>
      <c r="R7" s="123">
        <f t="shared" si="12"/>
        <v>0</v>
      </c>
      <c r="S7" s="123">
        <f t="shared" si="12"/>
        <v>0</v>
      </c>
      <c r="T7" s="123">
        <f t="shared" si="12"/>
        <v>0</v>
      </c>
      <c r="U7" s="123">
        <f t="shared" si="12"/>
        <v>0</v>
      </c>
      <c r="V7" s="123">
        <f t="shared" si="12"/>
        <v>0</v>
      </c>
      <c r="W7" s="123">
        <f t="shared" si="12"/>
        <v>0</v>
      </c>
      <c r="X7" s="123">
        <f t="shared" si="12"/>
        <v>0</v>
      </c>
      <c r="Y7" s="123">
        <f t="shared" si="12"/>
        <v>0</v>
      </c>
      <c r="Z7" s="123">
        <f t="shared" si="12"/>
        <v>0</v>
      </c>
      <c r="AA7" s="123">
        <f t="shared" si="12"/>
        <v>0</v>
      </c>
      <c r="AB7" s="123">
        <f t="shared" si="12"/>
        <v>0</v>
      </c>
      <c r="AC7" s="123">
        <f t="shared" si="12"/>
        <v>0</v>
      </c>
      <c r="AD7" s="123">
        <f t="shared" si="12"/>
        <v>0</v>
      </c>
      <c r="AE7" s="123">
        <f t="shared" si="12"/>
        <v>0</v>
      </c>
      <c r="AF7" s="123">
        <f t="shared" si="12"/>
        <v>0</v>
      </c>
      <c r="AG7" s="123">
        <f t="shared" si="12"/>
        <v>0</v>
      </c>
      <c r="AH7" s="123">
        <f t="shared" ref="AH7:AQ7" si="13">SUM(AH5:AH6)</f>
        <v>0</v>
      </c>
      <c r="AI7" s="123">
        <f t="shared" si="13"/>
        <v>0</v>
      </c>
      <c r="AJ7" s="123">
        <f t="shared" si="13"/>
        <v>0</v>
      </c>
      <c r="AK7" s="123">
        <f t="shared" si="13"/>
        <v>0</v>
      </c>
      <c r="AL7" s="123">
        <f t="shared" si="13"/>
        <v>0</v>
      </c>
      <c r="AM7" s="123">
        <f t="shared" si="13"/>
        <v>0</v>
      </c>
      <c r="AN7" s="123">
        <f t="shared" si="13"/>
        <v>0</v>
      </c>
      <c r="AO7" s="123">
        <f t="shared" si="13"/>
        <v>0</v>
      </c>
      <c r="AP7" s="123">
        <f t="shared" si="13"/>
        <v>0</v>
      </c>
      <c r="AQ7" s="123">
        <f t="shared" si="13"/>
        <v>0</v>
      </c>
    </row>
    <row r="10" spans="2:43" x14ac:dyDescent="0.2">
      <c r="B10" s="31"/>
      <c r="C10" s="31"/>
      <c r="D10" s="31" t="s">
        <v>10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</row>
    <row r="11" spans="2:43" x14ac:dyDescent="0.2">
      <c r="B11" s="32" t="s">
        <v>430</v>
      </c>
      <c r="C11" s="32"/>
      <c r="D11" s="33">
        <v>1</v>
      </c>
      <c r="E11" s="33">
        <v>2</v>
      </c>
      <c r="F11" s="33">
        <v>3</v>
      </c>
      <c r="G11" s="33">
        <v>4</v>
      </c>
      <c r="H11" s="33">
        <v>5</v>
      </c>
      <c r="I11" s="33">
        <v>6</v>
      </c>
      <c r="J11" s="33">
        <v>7</v>
      </c>
      <c r="K11" s="33">
        <v>8</v>
      </c>
      <c r="L11" s="33">
        <v>9</v>
      </c>
      <c r="M11" s="33">
        <v>10</v>
      </c>
      <c r="N11" s="33">
        <v>11</v>
      </c>
      <c r="O11" s="33">
        <v>12</v>
      </c>
      <c r="P11" s="33">
        <v>13</v>
      </c>
      <c r="Q11" s="33">
        <v>14</v>
      </c>
      <c r="R11" s="33">
        <v>15</v>
      </c>
      <c r="S11" s="33">
        <v>16</v>
      </c>
      <c r="T11" s="33">
        <v>17</v>
      </c>
      <c r="U11" s="33">
        <v>18</v>
      </c>
      <c r="V11" s="33">
        <v>19</v>
      </c>
      <c r="W11" s="33">
        <v>20</v>
      </c>
      <c r="X11" s="33">
        <v>21</v>
      </c>
      <c r="Y11" s="33">
        <v>22</v>
      </c>
      <c r="Z11" s="33">
        <v>23</v>
      </c>
      <c r="AA11" s="33">
        <v>24</v>
      </c>
      <c r="AB11" s="33">
        <v>25</v>
      </c>
      <c r="AC11" s="33">
        <v>26</v>
      </c>
      <c r="AD11" s="33">
        <v>27</v>
      </c>
      <c r="AE11" s="33">
        <v>28</v>
      </c>
      <c r="AF11" s="33">
        <v>29</v>
      </c>
      <c r="AG11" s="33">
        <v>30</v>
      </c>
      <c r="AH11" s="33">
        <v>31</v>
      </c>
      <c r="AI11" s="33">
        <v>32</v>
      </c>
      <c r="AJ11" s="33">
        <v>33</v>
      </c>
      <c r="AK11" s="33">
        <v>34</v>
      </c>
      <c r="AL11" s="33">
        <v>35</v>
      </c>
      <c r="AM11" s="33">
        <v>36</v>
      </c>
      <c r="AN11" s="33">
        <v>37</v>
      </c>
      <c r="AO11" s="33">
        <v>38</v>
      </c>
      <c r="AP11" s="33">
        <v>39</v>
      </c>
      <c r="AQ11" s="33">
        <v>40</v>
      </c>
    </row>
    <row r="12" spans="2:43" x14ac:dyDescent="0.2">
      <c r="B12" s="34" t="s">
        <v>34</v>
      </c>
      <c r="C12" s="272" t="s">
        <v>9</v>
      </c>
      <c r="D12" s="35">
        <f>D4</f>
        <v>2025</v>
      </c>
      <c r="E12" s="35">
        <f>D12+$D$3</f>
        <v>2026</v>
      </c>
      <c r="F12" s="35">
        <f t="shared" ref="F12" si="14">E12+$D$3</f>
        <v>2027</v>
      </c>
      <c r="G12" s="35">
        <f t="shared" ref="G12" si="15">F12+$D$3</f>
        <v>2028</v>
      </c>
      <c r="H12" s="35">
        <f t="shared" ref="H12" si="16">G12+$D$3</f>
        <v>2029</v>
      </c>
      <c r="I12" s="35">
        <f t="shared" ref="I12" si="17">H12+$D$3</f>
        <v>2030</v>
      </c>
      <c r="J12" s="35">
        <f t="shared" ref="J12" si="18">I12+$D$3</f>
        <v>2031</v>
      </c>
      <c r="K12" s="35">
        <f t="shared" ref="K12" si="19">J12+$D$3</f>
        <v>2032</v>
      </c>
      <c r="L12" s="35">
        <f t="shared" ref="L12" si="20">K12+$D$3</f>
        <v>2033</v>
      </c>
      <c r="M12" s="35">
        <f t="shared" ref="M12" si="21">L12+$D$3</f>
        <v>2034</v>
      </c>
      <c r="N12" s="35">
        <f t="shared" ref="N12" si="22">M12+$D$3</f>
        <v>2035</v>
      </c>
      <c r="O12" s="35">
        <f t="shared" ref="O12" si="23">N12+$D$3</f>
        <v>2036</v>
      </c>
      <c r="P12" s="35">
        <f t="shared" ref="P12" si="24">O12+$D$3</f>
        <v>2037</v>
      </c>
      <c r="Q12" s="35">
        <f t="shared" ref="Q12" si="25">P12+$D$3</f>
        <v>2038</v>
      </c>
      <c r="R12" s="35">
        <f t="shared" ref="R12" si="26">Q12+$D$3</f>
        <v>2039</v>
      </c>
      <c r="S12" s="35">
        <f t="shared" ref="S12" si="27">R12+$D$3</f>
        <v>2040</v>
      </c>
      <c r="T12" s="35">
        <f t="shared" ref="T12" si="28">S12+$D$3</f>
        <v>2041</v>
      </c>
      <c r="U12" s="35">
        <f t="shared" ref="U12" si="29">T12+$D$3</f>
        <v>2042</v>
      </c>
      <c r="V12" s="35">
        <f t="shared" ref="V12" si="30">U12+$D$3</f>
        <v>2043</v>
      </c>
      <c r="W12" s="35">
        <f t="shared" ref="W12" si="31">V12+$D$3</f>
        <v>2044</v>
      </c>
      <c r="X12" s="35">
        <f t="shared" ref="X12" si="32">W12+$D$3</f>
        <v>2045</v>
      </c>
      <c r="Y12" s="35">
        <f t="shared" ref="Y12" si="33">X12+$D$3</f>
        <v>2046</v>
      </c>
      <c r="Z12" s="35">
        <f t="shared" ref="Z12" si="34">Y12+$D$3</f>
        <v>2047</v>
      </c>
      <c r="AA12" s="35">
        <f t="shared" ref="AA12" si="35">Z12+$D$3</f>
        <v>2048</v>
      </c>
      <c r="AB12" s="35">
        <f t="shared" ref="AB12" si="36">AA12+$D$3</f>
        <v>2049</v>
      </c>
      <c r="AC12" s="35">
        <f t="shared" ref="AC12" si="37">AB12+$D$3</f>
        <v>2050</v>
      </c>
      <c r="AD12" s="35">
        <f t="shared" ref="AD12" si="38">AC12+$D$3</f>
        <v>2051</v>
      </c>
      <c r="AE12" s="35">
        <f t="shared" ref="AE12" si="39">AD12+$D$3</f>
        <v>2052</v>
      </c>
      <c r="AF12" s="35">
        <f t="shared" ref="AF12" si="40">AE12+$D$3</f>
        <v>2053</v>
      </c>
      <c r="AG12" s="35">
        <f t="shared" ref="AG12" si="41">AF12+$D$3</f>
        <v>2054</v>
      </c>
      <c r="AH12" s="35">
        <f t="shared" ref="AH12" si="42">AG12+$D$3</f>
        <v>2055</v>
      </c>
      <c r="AI12" s="35">
        <f t="shared" ref="AI12" si="43">AH12+$D$3</f>
        <v>2056</v>
      </c>
      <c r="AJ12" s="35">
        <f t="shared" ref="AJ12" si="44">AI12+$D$3</f>
        <v>2057</v>
      </c>
      <c r="AK12" s="35">
        <f t="shared" ref="AK12" si="45">AJ12+$D$3</f>
        <v>2058</v>
      </c>
      <c r="AL12" s="35">
        <f t="shared" ref="AL12" si="46">AK12+$D$3</f>
        <v>2059</v>
      </c>
      <c r="AM12" s="35">
        <f t="shared" ref="AM12" si="47">AL12+$D$3</f>
        <v>2060</v>
      </c>
      <c r="AN12" s="35">
        <f t="shared" ref="AN12" si="48">AM12+$D$3</f>
        <v>2061</v>
      </c>
      <c r="AO12" s="35">
        <f t="shared" ref="AO12" si="49">AN12+$D$3</f>
        <v>2062</v>
      </c>
      <c r="AP12" s="35">
        <f t="shared" ref="AP12" si="50">AO12+$D$3</f>
        <v>2063</v>
      </c>
      <c r="AQ12" s="35">
        <f t="shared" ref="AQ12" si="51">AP12+$D$3</f>
        <v>2064</v>
      </c>
    </row>
    <row r="13" spans="2:43" x14ac:dyDescent="0.2">
      <c r="B13" s="33" t="s">
        <v>278</v>
      </c>
      <c r="C13" s="37">
        <f t="shared" ref="C13:C15" si="52">SUM(D13:AQ13)</f>
        <v>0</v>
      </c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</row>
    <row r="14" spans="2:43" x14ac:dyDescent="0.2">
      <c r="B14" s="33" t="s">
        <v>277</v>
      </c>
      <c r="C14" s="37">
        <f t="shared" si="52"/>
        <v>0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</row>
    <row r="15" spans="2:43" x14ac:dyDescent="0.2">
      <c r="B15" s="32" t="s">
        <v>9</v>
      </c>
      <c r="C15" s="123">
        <f t="shared" si="52"/>
        <v>0</v>
      </c>
      <c r="D15" s="123">
        <f t="shared" ref="D15:AG15" si="53">SUM(D13:D14)</f>
        <v>0</v>
      </c>
      <c r="E15" s="123">
        <f t="shared" si="53"/>
        <v>0</v>
      </c>
      <c r="F15" s="123">
        <f t="shared" si="53"/>
        <v>0</v>
      </c>
      <c r="G15" s="123">
        <f t="shared" si="53"/>
        <v>0</v>
      </c>
      <c r="H15" s="123">
        <f t="shared" si="53"/>
        <v>0</v>
      </c>
      <c r="I15" s="123">
        <f t="shared" si="53"/>
        <v>0</v>
      </c>
      <c r="J15" s="123">
        <f t="shared" si="53"/>
        <v>0</v>
      </c>
      <c r="K15" s="123">
        <f t="shared" si="53"/>
        <v>0</v>
      </c>
      <c r="L15" s="123">
        <f t="shared" si="53"/>
        <v>0</v>
      </c>
      <c r="M15" s="123">
        <f t="shared" si="53"/>
        <v>0</v>
      </c>
      <c r="N15" s="123">
        <f t="shared" si="53"/>
        <v>0</v>
      </c>
      <c r="O15" s="123">
        <f t="shared" si="53"/>
        <v>0</v>
      </c>
      <c r="P15" s="123">
        <f t="shared" si="53"/>
        <v>0</v>
      </c>
      <c r="Q15" s="123">
        <f t="shared" si="53"/>
        <v>0</v>
      </c>
      <c r="R15" s="123">
        <f t="shared" si="53"/>
        <v>0</v>
      </c>
      <c r="S15" s="123">
        <f t="shared" si="53"/>
        <v>0</v>
      </c>
      <c r="T15" s="123">
        <f t="shared" si="53"/>
        <v>0</v>
      </c>
      <c r="U15" s="123">
        <f t="shared" si="53"/>
        <v>0</v>
      </c>
      <c r="V15" s="123">
        <f t="shared" si="53"/>
        <v>0</v>
      </c>
      <c r="W15" s="123">
        <f t="shared" si="53"/>
        <v>0</v>
      </c>
      <c r="X15" s="123">
        <f t="shared" si="53"/>
        <v>0</v>
      </c>
      <c r="Y15" s="123">
        <f t="shared" si="53"/>
        <v>0</v>
      </c>
      <c r="Z15" s="123">
        <f t="shared" si="53"/>
        <v>0</v>
      </c>
      <c r="AA15" s="123">
        <f t="shared" si="53"/>
        <v>0</v>
      </c>
      <c r="AB15" s="123">
        <f t="shared" si="53"/>
        <v>0</v>
      </c>
      <c r="AC15" s="123">
        <f t="shared" si="53"/>
        <v>0</v>
      </c>
      <c r="AD15" s="123">
        <f t="shared" si="53"/>
        <v>0</v>
      </c>
      <c r="AE15" s="123">
        <f t="shared" si="53"/>
        <v>0</v>
      </c>
      <c r="AF15" s="123">
        <f t="shared" si="53"/>
        <v>0</v>
      </c>
      <c r="AG15" s="123">
        <f t="shared" si="53"/>
        <v>0</v>
      </c>
      <c r="AH15" s="123">
        <f t="shared" ref="AH15:AQ15" si="54">SUM(AH13:AH14)</f>
        <v>0</v>
      </c>
      <c r="AI15" s="123">
        <f t="shared" si="54"/>
        <v>0</v>
      </c>
      <c r="AJ15" s="123">
        <f t="shared" si="54"/>
        <v>0</v>
      </c>
      <c r="AK15" s="123">
        <f t="shared" si="54"/>
        <v>0</v>
      </c>
      <c r="AL15" s="123">
        <f t="shared" si="54"/>
        <v>0</v>
      </c>
      <c r="AM15" s="123">
        <f t="shared" si="54"/>
        <v>0</v>
      </c>
      <c r="AN15" s="123">
        <f t="shared" si="54"/>
        <v>0</v>
      </c>
      <c r="AO15" s="123">
        <f t="shared" si="54"/>
        <v>0</v>
      </c>
      <c r="AP15" s="123">
        <f t="shared" si="54"/>
        <v>0</v>
      </c>
      <c r="AQ15" s="123">
        <f t="shared" si="54"/>
        <v>0</v>
      </c>
    </row>
    <row r="18" spans="2:43" x14ac:dyDescent="0.2">
      <c r="B18" s="31"/>
      <c r="C18" s="31"/>
      <c r="D18" s="31" t="s">
        <v>10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</row>
    <row r="19" spans="2:43" x14ac:dyDescent="0.2">
      <c r="B19" s="32" t="s">
        <v>431</v>
      </c>
      <c r="C19" s="32"/>
      <c r="D19" s="33">
        <v>1</v>
      </c>
      <c r="E19" s="33">
        <v>2</v>
      </c>
      <c r="F19" s="33">
        <v>3</v>
      </c>
      <c r="G19" s="33">
        <v>4</v>
      </c>
      <c r="H19" s="33">
        <v>5</v>
      </c>
      <c r="I19" s="33">
        <v>6</v>
      </c>
      <c r="J19" s="33">
        <v>7</v>
      </c>
      <c r="K19" s="33">
        <v>8</v>
      </c>
      <c r="L19" s="33">
        <v>9</v>
      </c>
      <c r="M19" s="33">
        <v>10</v>
      </c>
      <c r="N19" s="33">
        <v>11</v>
      </c>
      <c r="O19" s="33">
        <v>12</v>
      </c>
      <c r="P19" s="33">
        <v>13</v>
      </c>
      <c r="Q19" s="33">
        <v>14</v>
      </c>
      <c r="R19" s="33">
        <v>15</v>
      </c>
      <c r="S19" s="33">
        <v>16</v>
      </c>
      <c r="T19" s="33">
        <v>17</v>
      </c>
      <c r="U19" s="33">
        <v>18</v>
      </c>
      <c r="V19" s="33">
        <v>19</v>
      </c>
      <c r="W19" s="33">
        <v>20</v>
      </c>
      <c r="X19" s="33">
        <v>21</v>
      </c>
      <c r="Y19" s="33">
        <v>22</v>
      </c>
      <c r="Z19" s="33">
        <v>23</v>
      </c>
      <c r="AA19" s="33">
        <v>24</v>
      </c>
      <c r="AB19" s="33">
        <v>25</v>
      </c>
      <c r="AC19" s="33">
        <v>26</v>
      </c>
      <c r="AD19" s="33">
        <v>27</v>
      </c>
      <c r="AE19" s="33">
        <v>28</v>
      </c>
      <c r="AF19" s="33">
        <v>29</v>
      </c>
      <c r="AG19" s="33">
        <v>30</v>
      </c>
      <c r="AH19" s="33">
        <v>31</v>
      </c>
      <c r="AI19" s="33">
        <v>32</v>
      </c>
      <c r="AJ19" s="33">
        <v>33</v>
      </c>
      <c r="AK19" s="33">
        <v>34</v>
      </c>
      <c r="AL19" s="33">
        <v>35</v>
      </c>
      <c r="AM19" s="33">
        <v>36</v>
      </c>
      <c r="AN19" s="33">
        <v>37</v>
      </c>
      <c r="AO19" s="33">
        <v>38</v>
      </c>
      <c r="AP19" s="33">
        <v>39</v>
      </c>
      <c r="AQ19" s="33">
        <v>40</v>
      </c>
    </row>
    <row r="20" spans="2:43" x14ac:dyDescent="0.2">
      <c r="B20" s="34" t="s">
        <v>63</v>
      </c>
      <c r="C20" s="272" t="s">
        <v>9</v>
      </c>
      <c r="D20" s="35">
        <f>D12</f>
        <v>2025</v>
      </c>
      <c r="E20" s="35">
        <f>D20+$D$3</f>
        <v>2026</v>
      </c>
      <c r="F20" s="35">
        <f t="shared" ref="F20" si="55">E20+$D$3</f>
        <v>2027</v>
      </c>
      <c r="G20" s="35">
        <f t="shared" ref="G20" si="56">F20+$D$3</f>
        <v>2028</v>
      </c>
      <c r="H20" s="35">
        <f t="shared" ref="H20" si="57">G20+$D$3</f>
        <v>2029</v>
      </c>
      <c r="I20" s="35">
        <f t="shared" ref="I20" si="58">H20+$D$3</f>
        <v>2030</v>
      </c>
      <c r="J20" s="35">
        <f t="shared" ref="J20" si="59">I20+$D$3</f>
        <v>2031</v>
      </c>
      <c r="K20" s="35">
        <f t="shared" ref="K20" si="60">J20+$D$3</f>
        <v>2032</v>
      </c>
      <c r="L20" s="35">
        <f t="shared" ref="L20" si="61">K20+$D$3</f>
        <v>2033</v>
      </c>
      <c r="M20" s="35">
        <f t="shared" ref="M20" si="62">L20+$D$3</f>
        <v>2034</v>
      </c>
      <c r="N20" s="35">
        <f t="shared" ref="N20" si="63">M20+$D$3</f>
        <v>2035</v>
      </c>
      <c r="O20" s="35">
        <f t="shared" ref="O20" si="64">N20+$D$3</f>
        <v>2036</v>
      </c>
      <c r="P20" s="35">
        <f t="shared" ref="P20" si="65">O20+$D$3</f>
        <v>2037</v>
      </c>
      <c r="Q20" s="35">
        <f t="shared" ref="Q20" si="66">P20+$D$3</f>
        <v>2038</v>
      </c>
      <c r="R20" s="35">
        <f t="shared" ref="R20" si="67">Q20+$D$3</f>
        <v>2039</v>
      </c>
      <c r="S20" s="35">
        <f t="shared" ref="S20" si="68">R20+$D$3</f>
        <v>2040</v>
      </c>
      <c r="T20" s="35">
        <f t="shared" ref="T20" si="69">S20+$D$3</f>
        <v>2041</v>
      </c>
      <c r="U20" s="35">
        <f t="shared" ref="U20" si="70">T20+$D$3</f>
        <v>2042</v>
      </c>
      <c r="V20" s="35">
        <f t="shared" ref="V20" si="71">U20+$D$3</f>
        <v>2043</v>
      </c>
      <c r="W20" s="35">
        <f t="shared" ref="W20" si="72">V20+$D$3</f>
        <v>2044</v>
      </c>
      <c r="X20" s="35">
        <f t="shared" ref="X20" si="73">W20+$D$3</f>
        <v>2045</v>
      </c>
      <c r="Y20" s="35">
        <f t="shared" ref="Y20" si="74">X20+$D$3</f>
        <v>2046</v>
      </c>
      <c r="Z20" s="35">
        <f t="shared" ref="Z20" si="75">Y20+$D$3</f>
        <v>2047</v>
      </c>
      <c r="AA20" s="35">
        <f t="shared" ref="AA20" si="76">Z20+$D$3</f>
        <v>2048</v>
      </c>
      <c r="AB20" s="35">
        <f t="shared" ref="AB20" si="77">AA20+$D$3</f>
        <v>2049</v>
      </c>
      <c r="AC20" s="35">
        <f t="shared" ref="AC20" si="78">AB20+$D$3</f>
        <v>2050</v>
      </c>
      <c r="AD20" s="35">
        <f t="shared" ref="AD20" si="79">AC20+$D$3</f>
        <v>2051</v>
      </c>
      <c r="AE20" s="35">
        <f t="shared" ref="AE20" si="80">AD20+$D$3</f>
        <v>2052</v>
      </c>
      <c r="AF20" s="35">
        <f t="shared" ref="AF20" si="81">AE20+$D$3</f>
        <v>2053</v>
      </c>
      <c r="AG20" s="35">
        <f t="shared" ref="AG20" si="82">AF20+$D$3</f>
        <v>2054</v>
      </c>
      <c r="AH20" s="35">
        <f t="shared" ref="AH20" si="83">AG20+$D$3</f>
        <v>2055</v>
      </c>
      <c r="AI20" s="35">
        <f t="shared" ref="AI20" si="84">AH20+$D$3</f>
        <v>2056</v>
      </c>
      <c r="AJ20" s="35">
        <f t="shared" ref="AJ20" si="85">AI20+$D$3</f>
        <v>2057</v>
      </c>
      <c r="AK20" s="35">
        <f t="shared" ref="AK20" si="86">AJ20+$D$3</f>
        <v>2058</v>
      </c>
      <c r="AL20" s="35">
        <f t="shared" ref="AL20" si="87">AK20+$D$3</f>
        <v>2059</v>
      </c>
      <c r="AM20" s="35">
        <f t="shared" ref="AM20" si="88">AL20+$D$3</f>
        <v>2060</v>
      </c>
      <c r="AN20" s="35">
        <f t="shared" ref="AN20" si="89">AM20+$D$3</f>
        <v>2061</v>
      </c>
      <c r="AO20" s="35">
        <f t="shared" ref="AO20" si="90">AN20+$D$3</f>
        <v>2062</v>
      </c>
      <c r="AP20" s="35">
        <f t="shared" ref="AP20" si="91">AO20+$D$3</f>
        <v>2063</v>
      </c>
      <c r="AQ20" s="35">
        <f t="shared" ref="AQ20" si="92">AP20+$D$3</f>
        <v>2064</v>
      </c>
    </row>
    <row r="21" spans="2:43" x14ac:dyDescent="0.2">
      <c r="B21" s="33" t="s">
        <v>278</v>
      </c>
      <c r="C21" s="37">
        <f t="shared" ref="C21:C23" si="93">SUM(D21:AQ21)</f>
        <v>0</v>
      </c>
      <c r="D21" s="37">
        <f t="shared" ref="D21:AG21" si="94">D5-D13</f>
        <v>0</v>
      </c>
      <c r="E21" s="37">
        <f t="shared" si="94"/>
        <v>0</v>
      </c>
      <c r="F21" s="37">
        <f t="shared" si="94"/>
        <v>0</v>
      </c>
      <c r="G21" s="37">
        <f t="shared" si="94"/>
        <v>0</v>
      </c>
      <c r="H21" s="37">
        <f t="shared" si="94"/>
        <v>0</v>
      </c>
      <c r="I21" s="37">
        <f t="shared" si="94"/>
        <v>0</v>
      </c>
      <c r="J21" s="37">
        <f t="shared" si="94"/>
        <v>0</v>
      </c>
      <c r="K21" s="37">
        <f t="shared" si="94"/>
        <v>0</v>
      </c>
      <c r="L21" s="37">
        <f t="shared" si="94"/>
        <v>0</v>
      </c>
      <c r="M21" s="37">
        <f t="shared" si="94"/>
        <v>0</v>
      </c>
      <c r="N21" s="37">
        <f t="shared" si="94"/>
        <v>0</v>
      </c>
      <c r="O21" s="37">
        <f t="shared" si="94"/>
        <v>0</v>
      </c>
      <c r="P21" s="37">
        <f t="shared" si="94"/>
        <v>0</v>
      </c>
      <c r="Q21" s="37">
        <f t="shared" si="94"/>
        <v>0</v>
      </c>
      <c r="R21" s="37">
        <f t="shared" si="94"/>
        <v>0</v>
      </c>
      <c r="S21" s="37">
        <f t="shared" si="94"/>
        <v>0</v>
      </c>
      <c r="T21" s="37">
        <f t="shared" si="94"/>
        <v>0</v>
      </c>
      <c r="U21" s="37">
        <f t="shared" si="94"/>
        <v>0</v>
      </c>
      <c r="V21" s="37">
        <f t="shared" si="94"/>
        <v>0</v>
      </c>
      <c r="W21" s="37">
        <f t="shared" si="94"/>
        <v>0</v>
      </c>
      <c r="X21" s="37">
        <f t="shared" si="94"/>
        <v>0</v>
      </c>
      <c r="Y21" s="37">
        <f t="shared" si="94"/>
        <v>0</v>
      </c>
      <c r="Z21" s="37">
        <f t="shared" si="94"/>
        <v>0</v>
      </c>
      <c r="AA21" s="37">
        <f t="shared" si="94"/>
        <v>0</v>
      </c>
      <c r="AB21" s="37">
        <f t="shared" si="94"/>
        <v>0</v>
      </c>
      <c r="AC21" s="37">
        <f t="shared" si="94"/>
        <v>0</v>
      </c>
      <c r="AD21" s="37">
        <f t="shared" si="94"/>
        <v>0</v>
      </c>
      <c r="AE21" s="37">
        <f t="shared" si="94"/>
        <v>0</v>
      </c>
      <c r="AF21" s="37">
        <f t="shared" si="94"/>
        <v>0</v>
      </c>
      <c r="AG21" s="37">
        <f t="shared" si="94"/>
        <v>0</v>
      </c>
      <c r="AH21" s="37">
        <f t="shared" ref="AH21:AQ21" si="95">AH5-AH13</f>
        <v>0</v>
      </c>
      <c r="AI21" s="37">
        <f t="shared" si="95"/>
        <v>0</v>
      </c>
      <c r="AJ21" s="37">
        <f t="shared" si="95"/>
        <v>0</v>
      </c>
      <c r="AK21" s="37">
        <f t="shared" si="95"/>
        <v>0</v>
      </c>
      <c r="AL21" s="37">
        <f t="shared" si="95"/>
        <v>0</v>
      </c>
      <c r="AM21" s="37">
        <f t="shared" si="95"/>
        <v>0</v>
      </c>
      <c r="AN21" s="37">
        <f t="shared" si="95"/>
        <v>0</v>
      </c>
      <c r="AO21" s="37">
        <f t="shared" si="95"/>
        <v>0</v>
      </c>
      <c r="AP21" s="37">
        <f t="shared" si="95"/>
        <v>0</v>
      </c>
      <c r="AQ21" s="37">
        <f t="shared" si="95"/>
        <v>0</v>
      </c>
    </row>
    <row r="22" spans="2:43" x14ac:dyDescent="0.2">
      <c r="B22" s="33" t="s">
        <v>277</v>
      </c>
      <c r="C22" s="37">
        <f t="shared" si="93"/>
        <v>0</v>
      </c>
      <c r="D22" s="37">
        <f t="shared" ref="D22:AG22" si="96">D6-D14</f>
        <v>0</v>
      </c>
      <c r="E22" s="37">
        <f t="shared" si="96"/>
        <v>0</v>
      </c>
      <c r="F22" s="37">
        <f t="shared" si="96"/>
        <v>0</v>
      </c>
      <c r="G22" s="37">
        <f t="shared" si="96"/>
        <v>0</v>
      </c>
      <c r="H22" s="37">
        <f t="shared" si="96"/>
        <v>0</v>
      </c>
      <c r="I22" s="37">
        <f t="shared" si="96"/>
        <v>0</v>
      </c>
      <c r="J22" s="37">
        <f t="shared" si="96"/>
        <v>0</v>
      </c>
      <c r="K22" s="37">
        <f t="shared" si="96"/>
        <v>0</v>
      </c>
      <c r="L22" s="37">
        <f t="shared" si="96"/>
        <v>0</v>
      </c>
      <c r="M22" s="37">
        <f t="shared" si="96"/>
        <v>0</v>
      </c>
      <c r="N22" s="37">
        <f t="shared" si="96"/>
        <v>0</v>
      </c>
      <c r="O22" s="37">
        <f t="shared" si="96"/>
        <v>0</v>
      </c>
      <c r="P22" s="37">
        <f t="shared" si="96"/>
        <v>0</v>
      </c>
      <c r="Q22" s="37">
        <f t="shared" si="96"/>
        <v>0</v>
      </c>
      <c r="R22" s="37">
        <f t="shared" si="96"/>
        <v>0</v>
      </c>
      <c r="S22" s="37">
        <f t="shared" si="96"/>
        <v>0</v>
      </c>
      <c r="T22" s="37">
        <f t="shared" si="96"/>
        <v>0</v>
      </c>
      <c r="U22" s="37">
        <f t="shared" si="96"/>
        <v>0</v>
      </c>
      <c r="V22" s="37">
        <f t="shared" si="96"/>
        <v>0</v>
      </c>
      <c r="W22" s="37">
        <f t="shared" si="96"/>
        <v>0</v>
      </c>
      <c r="X22" s="37">
        <f t="shared" si="96"/>
        <v>0</v>
      </c>
      <c r="Y22" s="37">
        <f t="shared" si="96"/>
        <v>0</v>
      </c>
      <c r="Z22" s="37">
        <f t="shared" si="96"/>
        <v>0</v>
      </c>
      <c r="AA22" s="37">
        <f t="shared" si="96"/>
        <v>0</v>
      </c>
      <c r="AB22" s="37">
        <f t="shared" si="96"/>
        <v>0</v>
      </c>
      <c r="AC22" s="37">
        <f t="shared" si="96"/>
        <v>0</v>
      </c>
      <c r="AD22" s="37">
        <f t="shared" si="96"/>
        <v>0</v>
      </c>
      <c r="AE22" s="37">
        <f t="shared" si="96"/>
        <v>0</v>
      </c>
      <c r="AF22" s="37">
        <f t="shared" si="96"/>
        <v>0</v>
      </c>
      <c r="AG22" s="37">
        <f t="shared" si="96"/>
        <v>0</v>
      </c>
      <c r="AH22" s="37">
        <f t="shared" ref="AH22:AQ22" si="97">AH6-AH14</f>
        <v>0</v>
      </c>
      <c r="AI22" s="37">
        <f t="shared" si="97"/>
        <v>0</v>
      </c>
      <c r="AJ22" s="37">
        <f t="shared" si="97"/>
        <v>0</v>
      </c>
      <c r="AK22" s="37">
        <f t="shared" si="97"/>
        <v>0</v>
      </c>
      <c r="AL22" s="37">
        <f t="shared" si="97"/>
        <v>0</v>
      </c>
      <c r="AM22" s="37">
        <f t="shared" si="97"/>
        <v>0</v>
      </c>
      <c r="AN22" s="37">
        <f t="shared" si="97"/>
        <v>0</v>
      </c>
      <c r="AO22" s="37">
        <f t="shared" si="97"/>
        <v>0</v>
      </c>
      <c r="AP22" s="37">
        <f t="shared" si="97"/>
        <v>0</v>
      </c>
      <c r="AQ22" s="37">
        <f t="shared" si="97"/>
        <v>0</v>
      </c>
    </row>
    <row r="23" spans="2:43" x14ac:dyDescent="0.2">
      <c r="B23" s="32" t="s">
        <v>9</v>
      </c>
      <c r="C23" s="123">
        <f t="shared" si="93"/>
        <v>0</v>
      </c>
      <c r="D23" s="123">
        <f t="shared" ref="D23:AG23" si="98">SUM(D21:D22)</f>
        <v>0</v>
      </c>
      <c r="E23" s="123">
        <f t="shared" si="98"/>
        <v>0</v>
      </c>
      <c r="F23" s="123">
        <f t="shared" si="98"/>
        <v>0</v>
      </c>
      <c r="G23" s="123">
        <f t="shared" si="98"/>
        <v>0</v>
      </c>
      <c r="H23" s="123">
        <f t="shared" si="98"/>
        <v>0</v>
      </c>
      <c r="I23" s="123">
        <f t="shared" si="98"/>
        <v>0</v>
      </c>
      <c r="J23" s="123">
        <f t="shared" si="98"/>
        <v>0</v>
      </c>
      <c r="K23" s="123">
        <f t="shared" si="98"/>
        <v>0</v>
      </c>
      <c r="L23" s="123">
        <f t="shared" si="98"/>
        <v>0</v>
      </c>
      <c r="M23" s="123">
        <f t="shared" si="98"/>
        <v>0</v>
      </c>
      <c r="N23" s="123">
        <f t="shared" si="98"/>
        <v>0</v>
      </c>
      <c r="O23" s="123">
        <f t="shared" si="98"/>
        <v>0</v>
      </c>
      <c r="P23" s="123">
        <f t="shared" si="98"/>
        <v>0</v>
      </c>
      <c r="Q23" s="123">
        <f t="shared" si="98"/>
        <v>0</v>
      </c>
      <c r="R23" s="123">
        <f t="shared" si="98"/>
        <v>0</v>
      </c>
      <c r="S23" s="123">
        <f t="shared" si="98"/>
        <v>0</v>
      </c>
      <c r="T23" s="123">
        <f t="shared" si="98"/>
        <v>0</v>
      </c>
      <c r="U23" s="123">
        <f t="shared" si="98"/>
        <v>0</v>
      </c>
      <c r="V23" s="123">
        <f t="shared" si="98"/>
        <v>0</v>
      </c>
      <c r="W23" s="123">
        <f t="shared" si="98"/>
        <v>0</v>
      </c>
      <c r="X23" s="123">
        <f t="shared" si="98"/>
        <v>0</v>
      </c>
      <c r="Y23" s="123">
        <f t="shared" si="98"/>
        <v>0</v>
      </c>
      <c r="Z23" s="123">
        <f t="shared" si="98"/>
        <v>0</v>
      </c>
      <c r="AA23" s="123">
        <f t="shared" si="98"/>
        <v>0</v>
      </c>
      <c r="AB23" s="123">
        <f t="shared" si="98"/>
        <v>0</v>
      </c>
      <c r="AC23" s="123">
        <f t="shared" si="98"/>
        <v>0</v>
      </c>
      <c r="AD23" s="123">
        <f t="shared" si="98"/>
        <v>0</v>
      </c>
      <c r="AE23" s="123">
        <f t="shared" si="98"/>
        <v>0</v>
      </c>
      <c r="AF23" s="123">
        <f t="shared" si="98"/>
        <v>0</v>
      </c>
      <c r="AG23" s="123">
        <f t="shared" si="98"/>
        <v>0</v>
      </c>
      <c r="AH23" s="123">
        <f t="shared" ref="AH23:AQ23" si="99">SUM(AH21:AH22)</f>
        <v>0</v>
      </c>
      <c r="AI23" s="123">
        <f t="shared" si="99"/>
        <v>0</v>
      </c>
      <c r="AJ23" s="123">
        <f t="shared" si="99"/>
        <v>0</v>
      </c>
      <c r="AK23" s="123">
        <f t="shared" si="99"/>
        <v>0</v>
      </c>
      <c r="AL23" s="123">
        <f t="shared" si="99"/>
        <v>0</v>
      </c>
      <c r="AM23" s="123">
        <f t="shared" si="99"/>
        <v>0</v>
      </c>
      <c r="AN23" s="123">
        <f t="shared" si="99"/>
        <v>0</v>
      </c>
      <c r="AO23" s="123">
        <f t="shared" si="99"/>
        <v>0</v>
      </c>
      <c r="AP23" s="123">
        <f t="shared" si="99"/>
        <v>0</v>
      </c>
      <c r="AQ23" s="123">
        <f t="shared" si="99"/>
        <v>0</v>
      </c>
    </row>
    <row r="26" spans="2:43" x14ac:dyDescent="0.2">
      <c r="B26" s="31"/>
      <c r="C26" s="31"/>
      <c r="D26" s="31" t="s">
        <v>10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</row>
    <row r="27" spans="2:43" x14ac:dyDescent="0.2">
      <c r="B27" s="32" t="s">
        <v>432</v>
      </c>
      <c r="C27" s="32"/>
      <c r="D27" s="33">
        <v>1</v>
      </c>
      <c r="E27" s="33">
        <v>2</v>
      </c>
      <c r="F27" s="33">
        <v>3</v>
      </c>
      <c r="G27" s="33">
        <v>4</v>
      </c>
      <c r="H27" s="33">
        <v>5</v>
      </c>
      <c r="I27" s="33">
        <v>6</v>
      </c>
      <c r="J27" s="33">
        <v>7</v>
      </c>
      <c r="K27" s="33">
        <v>8</v>
      </c>
      <c r="L27" s="33">
        <v>9</v>
      </c>
      <c r="M27" s="33">
        <v>10</v>
      </c>
      <c r="N27" s="33">
        <v>11</v>
      </c>
      <c r="O27" s="33">
        <v>12</v>
      </c>
      <c r="P27" s="33">
        <v>13</v>
      </c>
      <c r="Q27" s="33">
        <v>14</v>
      </c>
      <c r="R27" s="33">
        <v>15</v>
      </c>
      <c r="S27" s="33">
        <v>16</v>
      </c>
      <c r="T27" s="33">
        <v>17</v>
      </c>
      <c r="U27" s="33">
        <v>18</v>
      </c>
      <c r="V27" s="33">
        <v>19</v>
      </c>
      <c r="W27" s="33">
        <v>20</v>
      </c>
      <c r="X27" s="33">
        <v>21</v>
      </c>
      <c r="Y27" s="33">
        <v>22</v>
      </c>
      <c r="Z27" s="33">
        <v>23</v>
      </c>
      <c r="AA27" s="33">
        <v>24</v>
      </c>
      <c r="AB27" s="33">
        <v>25</v>
      </c>
      <c r="AC27" s="33">
        <v>26</v>
      </c>
      <c r="AD27" s="33">
        <v>27</v>
      </c>
      <c r="AE27" s="33">
        <v>28</v>
      </c>
      <c r="AF27" s="33">
        <v>29</v>
      </c>
      <c r="AG27" s="33">
        <v>30</v>
      </c>
      <c r="AH27" s="33">
        <v>31</v>
      </c>
      <c r="AI27" s="33">
        <v>32</v>
      </c>
      <c r="AJ27" s="33">
        <v>33</v>
      </c>
      <c r="AK27" s="33">
        <v>34</v>
      </c>
      <c r="AL27" s="33">
        <v>35</v>
      </c>
      <c r="AM27" s="33">
        <v>36</v>
      </c>
      <c r="AN27" s="33">
        <v>37</v>
      </c>
      <c r="AO27" s="33">
        <v>38</v>
      </c>
      <c r="AP27" s="33">
        <v>39</v>
      </c>
      <c r="AQ27" s="33">
        <v>40</v>
      </c>
    </row>
    <row r="28" spans="2:43" x14ac:dyDescent="0.2">
      <c r="B28" s="34" t="s">
        <v>33</v>
      </c>
      <c r="C28" s="272" t="s">
        <v>9</v>
      </c>
      <c r="D28" s="35">
        <f>D4</f>
        <v>2025</v>
      </c>
      <c r="E28" s="35">
        <f>D28+$D$3</f>
        <v>2026</v>
      </c>
      <c r="F28" s="35">
        <f t="shared" ref="F28" si="100">E28+$D$3</f>
        <v>2027</v>
      </c>
      <c r="G28" s="35">
        <f t="shared" ref="G28" si="101">F28+$D$3</f>
        <v>2028</v>
      </c>
      <c r="H28" s="35">
        <f t="shared" ref="H28" si="102">G28+$D$3</f>
        <v>2029</v>
      </c>
      <c r="I28" s="35">
        <f t="shared" ref="I28" si="103">H28+$D$3</f>
        <v>2030</v>
      </c>
      <c r="J28" s="35">
        <f t="shared" ref="J28" si="104">I28+$D$3</f>
        <v>2031</v>
      </c>
      <c r="K28" s="35">
        <f t="shared" ref="K28" si="105">J28+$D$3</f>
        <v>2032</v>
      </c>
      <c r="L28" s="35">
        <f t="shared" ref="L28" si="106">K28+$D$3</f>
        <v>2033</v>
      </c>
      <c r="M28" s="35">
        <f t="shared" ref="M28" si="107">L28+$D$3</f>
        <v>2034</v>
      </c>
      <c r="N28" s="35">
        <f t="shared" ref="N28" si="108">M28+$D$3</f>
        <v>2035</v>
      </c>
      <c r="O28" s="35">
        <f t="shared" ref="O28" si="109">N28+$D$3</f>
        <v>2036</v>
      </c>
      <c r="P28" s="35">
        <f t="shared" ref="P28" si="110">O28+$D$3</f>
        <v>2037</v>
      </c>
      <c r="Q28" s="35">
        <f t="shared" ref="Q28" si="111">P28+$D$3</f>
        <v>2038</v>
      </c>
      <c r="R28" s="35">
        <f t="shared" ref="R28" si="112">Q28+$D$3</f>
        <v>2039</v>
      </c>
      <c r="S28" s="35">
        <f t="shared" ref="S28" si="113">R28+$D$3</f>
        <v>2040</v>
      </c>
      <c r="T28" s="35">
        <f t="shared" ref="T28" si="114">S28+$D$3</f>
        <v>2041</v>
      </c>
      <c r="U28" s="35">
        <f t="shared" ref="U28" si="115">T28+$D$3</f>
        <v>2042</v>
      </c>
      <c r="V28" s="35">
        <f t="shared" ref="V28" si="116">U28+$D$3</f>
        <v>2043</v>
      </c>
      <c r="W28" s="35">
        <f t="shared" ref="W28" si="117">V28+$D$3</f>
        <v>2044</v>
      </c>
      <c r="X28" s="35">
        <f t="shared" ref="X28" si="118">W28+$D$3</f>
        <v>2045</v>
      </c>
      <c r="Y28" s="35">
        <f t="shared" ref="Y28" si="119">X28+$D$3</f>
        <v>2046</v>
      </c>
      <c r="Z28" s="35">
        <f t="shared" ref="Z28" si="120">Y28+$D$3</f>
        <v>2047</v>
      </c>
      <c r="AA28" s="35">
        <f t="shared" ref="AA28" si="121">Z28+$D$3</f>
        <v>2048</v>
      </c>
      <c r="AB28" s="35">
        <f t="shared" ref="AB28" si="122">AA28+$D$3</f>
        <v>2049</v>
      </c>
      <c r="AC28" s="35">
        <f t="shared" ref="AC28" si="123">AB28+$D$3</f>
        <v>2050</v>
      </c>
      <c r="AD28" s="35">
        <f t="shared" ref="AD28" si="124">AC28+$D$3</f>
        <v>2051</v>
      </c>
      <c r="AE28" s="35">
        <f t="shared" ref="AE28" si="125">AD28+$D$3</f>
        <v>2052</v>
      </c>
      <c r="AF28" s="35">
        <f t="shared" ref="AF28" si="126">AE28+$D$3</f>
        <v>2053</v>
      </c>
      <c r="AG28" s="35">
        <f t="shared" ref="AG28" si="127">AF28+$D$3</f>
        <v>2054</v>
      </c>
      <c r="AH28" s="35">
        <f t="shared" ref="AH28" si="128">AG28+$D$3</f>
        <v>2055</v>
      </c>
      <c r="AI28" s="35">
        <f t="shared" ref="AI28" si="129">AH28+$D$3</f>
        <v>2056</v>
      </c>
      <c r="AJ28" s="35">
        <f t="shared" ref="AJ28" si="130">AI28+$D$3</f>
        <v>2057</v>
      </c>
      <c r="AK28" s="35">
        <f t="shared" ref="AK28" si="131">AJ28+$D$3</f>
        <v>2058</v>
      </c>
      <c r="AL28" s="35">
        <f t="shared" ref="AL28" si="132">AK28+$D$3</f>
        <v>2059</v>
      </c>
      <c r="AM28" s="35">
        <f t="shared" ref="AM28" si="133">AL28+$D$3</f>
        <v>2060</v>
      </c>
      <c r="AN28" s="35">
        <f t="shared" ref="AN28" si="134">AM28+$D$3</f>
        <v>2061</v>
      </c>
      <c r="AO28" s="35">
        <f t="shared" ref="AO28" si="135">AN28+$D$3</f>
        <v>2062</v>
      </c>
      <c r="AP28" s="35">
        <f t="shared" ref="AP28" si="136">AO28+$D$3</f>
        <v>2063</v>
      </c>
      <c r="AQ28" s="35">
        <f t="shared" ref="AQ28" si="137">AP28+$D$3</f>
        <v>2064</v>
      </c>
    </row>
    <row r="29" spans="2:43" x14ac:dyDescent="0.2">
      <c r="B29" s="31" t="s">
        <v>391</v>
      </c>
      <c r="C29" s="37">
        <f t="shared" ref="C29:C36" si="138">SUM(D29:AQ29)</f>
        <v>0</v>
      </c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</row>
    <row r="30" spans="2:43" x14ac:dyDescent="0.2">
      <c r="B30" s="31" t="s">
        <v>392</v>
      </c>
      <c r="C30" s="37">
        <f t="shared" si="138"/>
        <v>0</v>
      </c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</row>
    <row r="31" spans="2:43" x14ac:dyDescent="0.2">
      <c r="B31" s="31" t="s">
        <v>393</v>
      </c>
      <c r="C31" s="37">
        <f t="shared" si="138"/>
        <v>0</v>
      </c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</row>
    <row r="32" spans="2:43" x14ac:dyDescent="0.2">
      <c r="B32" s="31" t="s">
        <v>394</v>
      </c>
      <c r="C32" s="37">
        <f t="shared" si="138"/>
        <v>0</v>
      </c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</row>
    <row r="33" spans="2:43" x14ac:dyDescent="0.2">
      <c r="B33" s="31" t="s">
        <v>135</v>
      </c>
      <c r="C33" s="37">
        <f t="shared" si="138"/>
        <v>0</v>
      </c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</row>
    <row r="34" spans="2:43" ht="11.65" customHeight="1" x14ac:dyDescent="0.2">
      <c r="B34" s="31" t="s">
        <v>132</v>
      </c>
      <c r="C34" s="37">
        <f t="shared" si="138"/>
        <v>0</v>
      </c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</row>
    <row r="35" spans="2:43" x14ac:dyDescent="0.2">
      <c r="B35" s="31" t="s">
        <v>136</v>
      </c>
      <c r="C35" s="37">
        <f t="shared" si="138"/>
        <v>0</v>
      </c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</row>
    <row r="36" spans="2:43" x14ac:dyDescent="0.2">
      <c r="B36" s="32" t="s">
        <v>9</v>
      </c>
      <c r="C36" s="123">
        <f t="shared" si="138"/>
        <v>0</v>
      </c>
      <c r="D36" s="123">
        <f t="shared" ref="D36:AG36" si="139">SUM(D29:D35)</f>
        <v>0</v>
      </c>
      <c r="E36" s="123">
        <f t="shared" si="139"/>
        <v>0</v>
      </c>
      <c r="F36" s="123">
        <f t="shared" si="139"/>
        <v>0</v>
      </c>
      <c r="G36" s="123">
        <f t="shared" si="139"/>
        <v>0</v>
      </c>
      <c r="H36" s="123">
        <f t="shared" si="139"/>
        <v>0</v>
      </c>
      <c r="I36" s="123">
        <f t="shared" si="139"/>
        <v>0</v>
      </c>
      <c r="J36" s="123">
        <f t="shared" si="139"/>
        <v>0</v>
      </c>
      <c r="K36" s="123">
        <f t="shared" si="139"/>
        <v>0</v>
      </c>
      <c r="L36" s="123">
        <f t="shared" si="139"/>
        <v>0</v>
      </c>
      <c r="M36" s="123">
        <f t="shared" si="139"/>
        <v>0</v>
      </c>
      <c r="N36" s="123">
        <f t="shared" si="139"/>
        <v>0</v>
      </c>
      <c r="O36" s="123">
        <f t="shared" si="139"/>
        <v>0</v>
      </c>
      <c r="P36" s="123">
        <f t="shared" si="139"/>
        <v>0</v>
      </c>
      <c r="Q36" s="123">
        <f t="shared" si="139"/>
        <v>0</v>
      </c>
      <c r="R36" s="123">
        <f t="shared" si="139"/>
        <v>0</v>
      </c>
      <c r="S36" s="123">
        <f t="shared" si="139"/>
        <v>0</v>
      </c>
      <c r="T36" s="123">
        <f t="shared" si="139"/>
        <v>0</v>
      </c>
      <c r="U36" s="123">
        <f t="shared" si="139"/>
        <v>0</v>
      </c>
      <c r="V36" s="123">
        <f t="shared" si="139"/>
        <v>0</v>
      </c>
      <c r="W36" s="123">
        <f t="shared" si="139"/>
        <v>0</v>
      </c>
      <c r="X36" s="123">
        <f t="shared" si="139"/>
        <v>0</v>
      </c>
      <c r="Y36" s="123">
        <f t="shared" si="139"/>
        <v>0</v>
      </c>
      <c r="Z36" s="123">
        <f t="shared" si="139"/>
        <v>0</v>
      </c>
      <c r="AA36" s="123">
        <f t="shared" si="139"/>
        <v>0</v>
      </c>
      <c r="AB36" s="123">
        <f t="shared" si="139"/>
        <v>0</v>
      </c>
      <c r="AC36" s="123">
        <f t="shared" si="139"/>
        <v>0</v>
      </c>
      <c r="AD36" s="123">
        <f t="shared" si="139"/>
        <v>0</v>
      </c>
      <c r="AE36" s="123">
        <f t="shared" si="139"/>
        <v>0</v>
      </c>
      <c r="AF36" s="123">
        <f t="shared" si="139"/>
        <v>0</v>
      </c>
      <c r="AG36" s="123">
        <f t="shared" si="139"/>
        <v>0</v>
      </c>
      <c r="AH36" s="123">
        <f t="shared" ref="AH36:AQ36" si="140">SUM(AH29:AH35)</f>
        <v>0</v>
      </c>
      <c r="AI36" s="123">
        <f t="shared" si="140"/>
        <v>0</v>
      </c>
      <c r="AJ36" s="123">
        <f t="shared" si="140"/>
        <v>0</v>
      </c>
      <c r="AK36" s="123">
        <f t="shared" si="140"/>
        <v>0</v>
      </c>
      <c r="AL36" s="123">
        <f t="shared" si="140"/>
        <v>0</v>
      </c>
      <c r="AM36" s="123">
        <f t="shared" si="140"/>
        <v>0</v>
      </c>
      <c r="AN36" s="123">
        <f t="shared" si="140"/>
        <v>0</v>
      </c>
      <c r="AO36" s="123">
        <f t="shared" si="140"/>
        <v>0</v>
      </c>
      <c r="AP36" s="123">
        <f t="shared" si="140"/>
        <v>0</v>
      </c>
      <c r="AQ36" s="123">
        <f t="shared" si="140"/>
        <v>0</v>
      </c>
    </row>
    <row r="39" spans="2:43" x14ac:dyDescent="0.2">
      <c r="B39" s="31"/>
      <c r="C39" s="31"/>
      <c r="D39" s="31" t="s">
        <v>10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</row>
    <row r="40" spans="2:43" x14ac:dyDescent="0.2">
      <c r="B40" s="32" t="s">
        <v>433</v>
      </c>
      <c r="C40" s="32"/>
      <c r="D40" s="33">
        <v>1</v>
      </c>
      <c r="E40" s="33">
        <v>2</v>
      </c>
      <c r="F40" s="33">
        <v>3</v>
      </c>
      <c r="G40" s="33">
        <v>4</v>
      </c>
      <c r="H40" s="33">
        <v>5</v>
      </c>
      <c r="I40" s="33">
        <v>6</v>
      </c>
      <c r="J40" s="33">
        <v>7</v>
      </c>
      <c r="K40" s="33">
        <v>8</v>
      </c>
      <c r="L40" s="33">
        <v>9</v>
      </c>
      <c r="M40" s="33">
        <v>10</v>
      </c>
      <c r="N40" s="33">
        <v>11</v>
      </c>
      <c r="O40" s="33">
        <v>12</v>
      </c>
      <c r="P40" s="33">
        <v>13</v>
      </c>
      <c r="Q40" s="33">
        <v>14</v>
      </c>
      <c r="R40" s="33">
        <v>15</v>
      </c>
      <c r="S40" s="33">
        <v>16</v>
      </c>
      <c r="T40" s="33">
        <v>17</v>
      </c>
      <c r="U40" s="33">
        <v>18</v>
      </c>
      <c r="V40" s="33">
        <v>19</v>
      </c>
      <c r="W40" s="33">
        <v>20</v>
      </c>
      <c r="X40" s="33">
        <v>21</v>
      </c>
      <c r="Y40" s="33">
        <v>22</v>
      </c>
      <c r="Z40" s="33">
        <v>23</v>
      </c>
      <c r="AA40" s="33">
        <v>24</v>
      </c>
      <c r="AB40" s="33">
        <v>25</v>
      </c>
      <c r="AC40" s="33">
        <v>26</v>
      </c>
      <c r="AD40" s="33">
        <v>27</v>
      </c>
      <c r="AE40" s="33">
        <v>28</v>
      </c>
      <c r="AF40" s="33">
        <v>29</v>
      </c>
      <c r="AG40" s="33">
        <v>30</v>
      </c>
      <c r="AH40" s="33">
        <v>31</v>
      </c>
      <c r="AI40" s="33">
        <v>32</v>
      </c>
      <c r="AJ40" s="33">
        <v>33</v>
      </c>
      <c r="AK40" s="33">
        <v>34</v>
      </c>
      <c r="AL40" s="33">
        <v>35</v>
      </c>
      <c r="AM40" s="33">
        <v>36</v>
      </c>
      <c r="AN40" s="33">
        <v>37</v>
      </c>
      <c r="AO40" s="33">
        <v>38</v>
      </c>
      <c r="AP40" s="33">
        <v>39</v>
      </c>
      <c r="AQ40" s="33">
        <v>40</v>
      </c>
    </row>
    <row r="41" spans="2:43" x14ac:dyDescent="0.2">
      <c r="B41" s="34" t="s">
        <v>34</v>
      </c>
      <c r="C41" s="272" t="s">
        <v>9</v>
      </c>
      <c r="D41" s="35">
        <f t="shared" ref="D41:AG41" si="141">D4</f>
        <v>2025</v>
      </c>
      <c r="E41" s="35">
        <f t="shared" si="141"/>
        <v>2026</v>
      </c>
      <c r="F41" s="35">
        <f t="shared" si="141"/>
        <v>2027</v>
      </c>
      <c r="G41" s="35">
        <f t="shared" si="141"/>
        <v>2028</v>
      </c>
      <c r="H41" s="35">
        <f t="shared" si="141"/>
        <v>2029</v>
      </c>
      <c r="I41" s="35">
        <f t="shared" si="141"/>
        <v>2030</v>
      </c>
      <c r="J41" s="35">
        <f t="shared" si="141"/>
        <v>2031</v>
      </c>
      <c r="K41" s="35">
        <f t="shared" si="141"/>
        <v>2032</v>
      </c>
      <c r="L41" s="35">
        <f t="shared" si="141"/>
        <v>2033</v>
      </c>
      <c r="M41" s="35">
        <f t="shared" si="141"/>
        <v>2034</v>
      </c>
      <c r="N41" s="35">
        <f t="shared" si="141"/>
        <v>2035</v>
      </c>
      <c r="O41" s="35">
        <f t="shared" si="141"/>
        <v>2036</v>
      </c>
      <c r="P41" s="35">
        <f t="shared" si="141"/>
        <v>2037</v>
      </c>
      <c r="Q41" s="35">
        <f t="shared" si="141"/>
        <v>2038</v>
      </c>
      <c r="R41" s="35">
        <f t="shared" si="141"/>
        <v>2039</v>
      </c>
      <c r="S41" s="35">
        <f t="shared" si="141"/>
        <v>2040</v>
      </c>
      <c r="T41" s="35">
        <f t="shared" si="141"/>
        <v>2041</v>
      </c>
      <c r="U41" s="35">
        <f t="shared" si="141"/>
        <v>2042</v>
      </c>
      <c r="V41" s="35">
        <f t="shared" si="141"/>
        <v>2043</v>
      </c>
      <c r="W41" s="35">
        <f t="shared" si="141"/>
        <v>2044</v>
      </c>
      <c r="X41" s="35">
        <f t="shared" si="141"/>
        <v>2045</v>
      </c>
      <c r="Y41" s="35">
        <f t="shared" si="141"/>
        <v>2046</v>
      </c>
      <c r="Z41" s="35">
        <f t="shared" si="141"/>
        <v>2047</v>
      </c>
      <c r="AA41" s="35">
        <f t="shared" si="141"/>
        <v>2048</v>
      </c>
      <c r="AB41" s="35">
        <f t="shared" si="141"/>
        <v>2049</v>
      </c>
      <c r="AC41" s="35">
        <f t="shared" si="141"/>
        <v>2050</v>
      </c>
      <c r="AD41" s="35">
        <f t="shared" si="141"/>
        <v>2051</v>
      </c>
      <c r="AE41" s="35">
        <f t="shared" si="141"/>
        <v>2052</v>
      </c>
      <c r="AF41" s="35">
        <f t="shared" si="141"/>
        <v>2053</v>
      </c>
      <c r="AG41" s="35">
        <f t="shared" si="141"/>
        <v>2054</v>
      </c>
      <c r="AH41" s="35">
        <f t="shared" ref="AH41:AQ41" si="142">AH4</f>
        <v>2055</v>
      </c>
      <c r="AI41" s="35">
        <f t="shared" si="142"/>
        <v>2056</v>
      </c>
      <c r="AJ41" s="35">
        <f t="shared" si="142"/>
        <v>2057</v>
      </c>
      <c r="AK41" s="35">
        <f t="shared" si="142"/>
        <v>2058</v>
      </c>
      <c r="AL41" s="35">
        <f t="shared" si="142"/>
        <v>2059</v>
      </c>
      <c r="AM41" s="35">
        <f t="shared" si="142"/>
        <v>2060</v>
      </c>
      <c r="AN41" s="35">
        <f t="shared" si="142"/>
        <v>2061</v>
      </c>
      <c r="AO41" s="35">
        <f t="shared" si="142"/>
        <v>2062</v>
      </c>
      <c r="AP41" s="35">
        <f t="shared" si="142"/>
        <v>2063</v>
      </c>
      <c r="AQ41" s="35">
        <f t="shared" si="142"/>
        <v>2064</v>
      </c>
    </row>
    <row r="42" spans="2:43" x14ac:dyDescent="0.2">
      <c r="B42" s="31" t="s">
        <v>391</v>
      </c>
      <c r="C42" s="37">
        <f t="shared" ref="C42:C49" si="143">SUM(D42:AQ42)</f>
        <v>0</v>
      </c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</row>
    <row r="43" spans="2:43" x14ac:dyDescent="0.2">
      <c r="B43" s="31" t="s">
        <v>392</v>
      </c>
      <c r="C43" s="37">
        <f t="shared" si="143"/>
        <v>0</v>
      </c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</row>
    <row r="44" spans="2:43" x14ac:dyDescent="0.2">
      <c r="B44" s="31" t="s">
        <v>393</v>
      </c>
      <c r="C44" s="37">
        <f t="shared" si="143"/>
        <v>0</v>
      </c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</row>
    <row r="45" spans="2:43" x14ac:dyDescent="0.2">
      <c r="B45" s="31" t="s">
        <v>394</v>
      </c>
      <c r="C45" s="37">
        <f t="shared" si="143"/>
        <v>0</v>
      </c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</row>
    <row r="46" spans="2:43" x14ac:dyDescent="0.2">
      <c r="B46" s="31" t="s">
        <v>135</v>
      </c>
      <c r="C46" s="37">
        <f t="shared" si="143"/>
        <v>0</v>
      </c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</row>
    <row r="47" spans="2:43" ht="11.65" customHeight="1" x14ac:dyDescent="0.2">
      <c r="B47" s="31" t="s">
        <v>132</v>
      </c>
      <c r="C47" s="37">
        <f t="shared" si="143"/>
        <v>0</v>
      </c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</row>
    <row r="48" spans="2:43" x14ac:dyDescent="0.2">
      <c r="B48" s="31" t="s">
        <v>136</v>
      </c>
      <c r="C48" s="37">
        <f t="shared" si="143"/>
        <v>0</v>
      </c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</row>
    <row r="49" spans="2:43" x14ac:dyDescent="0.2">
      <c r="B49" s="32" t="s">
        <v>35</v>
      </c>
      <c r="C49" s="123">
        <f t="shared" si="143"/>
        <v>0</v>
      </c>
      <c r="D49" s="123">
        <f t="shared" ref="D49:AG49" si="144">SUM(D42:D48)</f>
        <v>0</v>
      </c>
      <c r="E49" s="123">
        <f t="shared" si="144"/>
        <v>0</v>
      </c>
      <c r="F49" s="123">
        <f t="shared" si="144"/>
        <v>0</v>
      </c>
      <c r="G49" s="123">
        <f t="shared" si="144"/>
        <v>0</v>
      </c>
      <c r="H49" s="123">
        <f t="shared" si="144"/>
        <v>0</v>
      </c>
      <c r="I49" s="123">
        <f t="shared" si="144"/>
        <v>0</v>
      </c>
      <c r="J49" s="123">
        <f t="shared" si="144"/>
        <v>0</v>
      </c>
      <c r="K49" s="123">
        <f t="shared" si="144"/>
        <v>0</v>
      </c>
      <c r="L49" s="123">
        <f t="shared" si="144"/>
        <v>0</v>
      </c>
      <c r="M49" s="123">
        <f t="shared" si="144"/>
        <v>0</v>
      </c>
      <c r="N49" s="123">
        <f t="shared" si="144"/>
        <v>0</v>
      </c>
      <c r="O49" s="123">
        <f t="shared" si="144"/>
        <v>0</v>
      </c>
      <c r="P49" s="123">
        <f t="shared" si="144"/>
        <v>0</v>
      </c>
      <c r="Q49" s="123">
        <f t="shared" si="144"/>
        <v>0</v>
      </c>
      <c r="R49" s="123">
        <f t="shared" si="144"/>
        <v>0</v>
      </c>
      <c r="S49" s="123">
        <f t="shared" si="144"/>
        <v>0</v>
      </c>
      <c r="T49" s="123">
        <f t="shared" si="144"/>
        <v>0</v>
      </c>
      <c r="U49" s="123">
        <f t="shared" si="144"/>
        <v>0</v>
      </c>
      <c r="V49" s="123">
        <f t="shared" si="144"/>
        <v>0</v>
      </c>
      <c r="W49" s="123">
        <f t="shared" si="144"/>
        <v>0</v>
      </c>
      <c r="X49" s="123">
        <f t="shared" si="144"/>
        <v>0</v>
      </c>
      <c r="Y49" s="123">
        <f t="shared" si="144"/>
        <v>0</v>
      </c>
      <c r="Z49" s="123">
        <f t="shared" si="144"/>
        <v>0</v>
      </c>
      <c r="AA49" s="123">
        <f t="shared" si="144"/>
        <v>0</v>
      </c>
      <c r="AB49" s="123">
        <f t="shared" si="144"/>
        <v>0</v>
      </c>
      <c r="AC49" s="123">
        <f t="shared" si="144"/>
        <v>0</v>
      </c>
      <c r="AD49" s="123">
        <f t="shared" si="144"/>
        <v>0</v>
      </c>
      <c r="AE49" s="123">
        <f t="shared" si="144"/>
        <v>0</v>
      </c>
      <c r="AF49" s="123">
        <f t="shared" si="144"/>
        <v>0</v>
      </c>
      <c r="AG49" s="123">
        <f t="shared" si="144"/>
        <v>0</v>
      </c>
      <c r="AH49" s="123">
        <f t="shared" ref="AH49:AQ49" si="145">SUM(AH42:AH48)</f>
        <v>0</v>
      </c>
      <c r="AI49" s="123">
        <f t="shared" si="145"/>
        <v>0</v>
      </c>
      <c r="AJ49" s="123">
        <f t="shared" si="145"/>
        <v>0</v>
      </c>
      <c r="AK49" s="123">
        <f t="shared" si="145"/>
        <v>0</v>
      </c>
      <c r="AL49" s="123">
        <f t="shared" si="145"/>
        <v>0</v>
      </c>
      <c r="AM49" s="123">
        <f t="shared" si="145"/>
        <v>0</v>
      </c>
      <c r="AN49" s="123">
        <f t="shared" si="145"/>
        <v>0</v>
      </c>
      <c r="AO49" s="123">
        <f t="shared" si="145"/>
        <v>0</v>
      </c>
      <c r="AP49" s="123">
        <f t="shared" si="145"/>
        <v>0</v>
      </c>
      <c r="AQ49" s="123">
        <f t="shared" si="145"/>
        <v>0</v>
      </c>
    </row>
    <row r="52" spans="2:43" x14ac:dyDescent="0.2">
      <c r="B52" s="31"/>
      <c r="C52" s="31"/>
      <c r="D52" s="31" t="s">
        <v>10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</row>
    <row r="53" spans="2:43" x14ac:dyDescent="0.2">
      <c r="B53" s="32" t="s">
        <v>434</v>
      </c>
      <c r="C53" s="32"/>
      <c r="D53" s="33">
        <v>1</v>
      </c>
      <c r="E53" s="33">
        <v>2</v>
      </c>
      <c r="F53" s="33">
        <v>3</v>
      </c>
      <c r="G53" s="33">
        <v>4</v>
      </c>
      <c r="H53" s="33">
        <v>5</v>
      </c>
      <c r="I53" s="33">
        <v>6</v>
      </c>
      <c r="J53" s="33">
        <v>7</v>
      </c>
      <c r="K53" s="33">
        <v>8</v>
      </c>
      <c r="L53" s="33">
        <v>9</v>
      </c>
      <c r="M53" s="33">
        <v>10</v>
      </c>
      <c r="N53" s="33">
        <v>11</v>
      </c>
      <c r="O53" s="33">
        <v>12</v>
      </c>
      <c r="P53" s="33">
        <v>13</v>
      </c>
      <c r="Q53" s="33">
        <v>14</v>
      </c>
      <c r="R53" s="33">
        <v>15</v>
      </c>
      <c r="S53" s="33">
        <v>16</v>
      </c>
      <c r="T53" s="33">
        <v>17</v>
      </c>
      <c r="U53" s="33">
        <v>18</v>
      </c>
      <c r="V53" s="33">
        <v>19</v>
      </c>
      <c r="W53" s="33">
        <v>20</v>
      </c>
      <c r="X53" s="33">
        <v>21</v>
      </c>
      <c r="Y53" s="33">
        <v>22</v>
      </c>
      <c r="Z53" s="33">
        <v>23</v>
      </c>
      <c r="AA53" s="33">
        <v>24</v>
      </c>
      <c r="AB53" s="33">
        <v>25</v>
      </c>
      <c r="AC53" s="33">
        <v>26</v>
      </c>
      <c r="AD53" s="33">
        <v>27</v>
      </c>
      <c r="AE53" s="33">
        <v>28</v>
      </c>
      <c r="AF53" s="33">
        <v>29</v>
      </c>
      <c r="AG53" s="33">
        <v>30</v>
      </c>
      <c r="AH53" s="33">
        <v>31</v>
      </c>
      <c r="AI53" s="33">
        <v>32</v>
      </c>
      <c r="AJ53" s="33">
        <v>33</v>
      </c>
      <c r="AK53" s="33">
        <v>34</v>
      </c>
      <c r="AL53" s="33">
        <v>35</v>
      </c>
      <c r="AM53" s="33">
        <v>36</v>
      </c>
      <c r="AN53" s="33">
        <v>37</v>
      </c>
      <c r="AO53" s="33">
        <v>38</v>
      </c>
      <c r="AP53" s="33">
        <v>39</v>
      </c>
      <c r="AQ53" s="33">
        <v>40</v>
      </c>
    </row>
    <row r="54" spans="2:43" x14ac:dyDescent="0.2">
      <c r="B54" s="34" t="s">
        <v>63</v>
      </c>
      <c r="C54" s="272" t="s">
        <v>9</v>
      </c>
      <c r="D54" s="35">
        <f t="shared" ref="D54:AG54" si="146">D4</f>
        <v>2025</v>
      </c>
      <c r="E54" s="35">
        <f t="shared" si="146"/>
        <v>2026</v>
      </c>
      <c r="F54" s="35">
        <f t="shared" si="146"/>
        <v>2027</v>
      </c>
      <c r="G54" s="35">
        <f t="shared" si="146"/>
        <v>2028</v>
      </c>
      <c r="H54" s="35">
        <f t="shared" si="146"/>
        <v>2029</v>
      </c>
      <c r="I54" s="35">
        <f t="shared" si="146"/>
        <v>2030</v>
      </c>
      <c r="J54" s="35">
        <f t="shared" si="146"/>
        <v>2031</v>
      </c>
      <c r="K54" s="35">
        <f t="shared" si="146"/>
        <v>2032</v>
      </c>
      <c r="L54" s="35">
        <f t="shared" si="146"/>
        <v>2033</v>
      </c>
      <c r="M54" s="35">
        <f t="shared" si="146"/>
        <v>2034</v>
      </c>
      <c r="N54" s="35">
        <f t="shared" si="146"/>
        <v>2035</v>
      </c>
      <c r="O54" s="35">
        <f t="shared" si="146"/>
        <v>2036</v>
      </c>
      <c r="P54" s="35">
        <f t="shared" si="146"/>
        <v>2037</v>
      </c>
      <c r="Q54" s="35">
        <f t="shared" si="146"/>
        <v>2038</v>
      </c>
      <c r="R54" s="35">
        <f t="shared" si="146"/>
        <v>2039</v>
      </c>
      <c r="S54" s="35">
        <f t="shared" si="146"/>
        <v>2040</v>
      </c>
      <c r="T54" s="35">
        <f t="shared" si="146"/>
        <v>2041</v>
      </c>
      <c r="U54" s="35">
        <f t="shared" si="146"/>
        <v>2042</v>
      </c>
      <c r="V54" s="35">
        <f t="shared" si="146"/>
        <v>2043</v>
      </c>
      <c r="W54" s="35">
        <f t="shared" si="146"/>
        <v>2044</v>
      </c>
      <c r="X54" s="35">
        <f t="shared" si="146"/>
        <v>2045</v>
      </c>
      <c r="Y54" s="35">
        <f t="shared" si="146"/>
        <v>2046</v>
      </c>
      <c r="Z54" s="35">
        <f t="shared" si="146"/>
        <v>2047</v>
      </c>
      <c r="AA54" s="35">
        <f t="shared" si="146"/>
        <v>2048</v>
      </c>
      <c r="AB54" s="35">
        <f t="shared" si="146"/>
        <v>2049</v>
      </c>
      <c r="AC54" s="35">
        <f t="shared" si="146"/>
        <v>2050</v>
      </c>
      <c r="AD54" s="35">
        <f t="shared" si="146"/>
        <v>2051</v>
      </c>
      <c r="AE54" s="35">
        <f t="shared" si="146"/>
        <v>2052</v>
      </c>
      <c r="AF54" s="35">
        <f t="shared" si="146"/>
        <v>2053</v>
      </c>
      <c r="AG54" s="35">
        <f t="shared" si="146"/>
        <v>2054</v>
      </c>
      <c r="AH54" s="35">
        <f t="shared" ref="AH54:AQ54" si="147">AH4</f>
        <v>2055</v>
      </c>
      <c r="AI54" s="35">
        <f t="shared" si="147"/>
        <v>2056</v>
      </c>
      <c r="AJ54" s="35">
        <f t="shared" si="147"/>
        <v>2057</v>
      </c>
      <c r="AK54" s="35">
        <f t="shared" si="147"/>
        <v>2058</v>
      </c>
      <c r="AL54" s="35">
        <f t="shared" si="147"/>
        <v>2059</v>
      </c>
      <c r="AM54" s="35">
        <f t="shared" si="147"/>
        <v>2060</v>
      </c>
      <c r="AN54" s="35">
        <f t="shared" si="147"/>
        <v>2061</v>
      </c>
      <c r="AO54" s="35">
        <f t="shared" si="147"/>
        <v>2062</v>
      </c>
      <c r="AP54" s="35">
        <f t="shared" si="147"/>
        <v>2063</v>
      </c>
      <c r="AQ54" s="35">
        <f t="shared" si="147"/>
        <v>2064</v>
      </c>
    </row>
    <row r="55" spans="2:43" x14ac:dyDescent="0.2">
      <c r="B55" s="31" t="s">
        <v>391</v>
      </c>
      <c r="C55" s="37">
        <f t="shared" ref="C55:C62" si="148">SUM(D55:AQ55)</f>
        <v>0</v>
      </c>
      <c r="D55" s="37">
        <f>D29-D42</f>
        <v>0</v>
      </c>
      <c r="E55" s="37">
        <f t="shared" ref="E55:AG61" si="149">E29-E42</f>
        <v>0</v>
      </c>
      <c r="F55" s="37">
        <f t="shared" si="149"/>
        <v>0</v>
      </c>
      <c r="G55" s="37">
        <f t="shared" si="149"/>
        <v>0</v>
      </c>
      <c r="H55" s="37">
        <f t="shared" si="149"/>
        <v>0</v>
      </c>
      <c r="I55" s="37">
        <f t="shared" si="149"/>
        <v>0</v>
      </c>
      <c r="J55" s="37">
        <f t="shared" si="149"/>
        <v>0</v>
      </c>
      <c r="K55" s="37">
        <f t="shared" si="149"/>
        <v>0</v>
      </c>
      <c r="L55" s="37">
        <f t="shared" si="149"/>
        <v>0</v>
      </c>
      <c r="M55" s="37">
        <f t="shared" si="149"/>
        <v>0</v>
      </c>
      <c r="N55" s="37">
        <f t="shared" si="149"/>
        <v>0</v>
      </c>
      <c r="O55" s="37">
        <f t="shared" si="149"/>
        <v>0</v>
      </c>
      <c r="P55" s="37">
        <f t="shared" si="149"/>
        <v>0</v>
      </c>
      <c r="Q55" s="37">
        <f t="shared" si="149"/>
        <v>0</v>
      </c>
      <c r="R55" s="37">
        <f t="shared" si="149"/>
        <v>0</v>
      </c>
      <c r="S55" s="37">
        <f t="shared" si="149"/>
        <v>0</v>
      </c>
      <c r="T55" s="37">
        <f t="shared" si="149"/>
        <v>0</v>
      </c>
      <c r="U55" s="37">
        <f t="shared" si="149"/>
        <v>0</v>
      </c>
      <c r="V55" s="37">
        <f t="shared" si="149"/>
        <v>0</v>
      </c>
      <c r="W55" s="37">
        <f t="shared" si="149"/>
        <v>0</v>
      </c>
      <c r="X55" s="37">
        <f t="shared" si="149"/>
        <v>0</v>
      </c>
      <c r="Y55" s="37">
        <f t="shared" si="149"/>
        <v>0</v>
      </c>
      <c r="Z55" s="37">
        <f t="shared" si="149"/>
        <v>0</v>
      </c>
      <c r="AA55" s="37">
        <f t="shared" si="149"/>
        <v>0</v>
      </c>
      <c r="AB55" s="37">
        <f t="shared" si="149"/>
        <v>0</v>
      </c>
      <c r="AC55" s="37">
        <f t="shared" si="149"/>
        <v>0</v>
      </c>
      <c r="AD55" s="37">
        <f t="shared" si="149"/>
        <v>0</v>
      </c>
      <c r="AE55" s="37">
        <f t="shared" si="149"/>
        <v>0</v>
      </c>
      <c r="AF55" s="37">
        <f t="shared" si="149"/>
        <v>0</v>
      </c>
      <c r="AG55" s="37">
        <f t="shared" si="149"/>
        <v>0</v>
      </c>
      <c r="AH55" s="37">
        <f t="shared" ref="AH55:AQ55" si="150">AH29-AH42</f>
        <v>0</v>
      </c>
      <c r="AI55" s="37">
        <f t="shared" si="150"/>
        <v>0</v>
      </c>
      <c r="AJ55" s="37">
        <f t="shared" si="150"/>
        <v>0</v>
      </c>
      <c r="AK55" s="37">
        <f t="shared" si="150"/>
        <v>0</v>
      </c>
      <c r="AL55" s="37">
        <f t="shared" si="150"/>
        <v>0</v>
      </c>
      <c r="AM55" s="37">
        <f t="shared" si="150"/>
        <v>0</v>
      </c>
      <c r="AN55" s="37">
        <f t="shared" si="150"/>
        <v>0</v>
      </c>
      <c r="AO55" s="37">
        <f t="shared" si="150"/>
        <v>0</v>
      </c>
      <c r="AP55" s="37">
        <f t="shared" si="150"/>
        <v>0</v>
      </c>
      <c r="AQ55" s="37">
        <f t="shared" si="150"/>
        <v>0</v>
      </c>
    </row>
    <row r="56" spans="2:43" x14ac:dyDescent="0.2">
      <c r="B56" s="31" t="s">
        <v>392</v>
      </c>
      <c r="C56" s="37">
        <f t="shared" si="148"/>
        <v>0</v>
      </c>
      <c r="D56" s="37">
        <f t="shared" ref="D56:S61" si="151">D30-D43</f>
        <v>0</v>
      </c>
      <c r="E56" s="37">
        <f t="shared" si="151"/>
        <v>0</v>
      </c>
      <c r="F56" s="37">
        <f t="shared" si="151"/>
        <v>0</v>
      </c>
      <c r="G56" s="37">
        <f t="shared" si="151"/>
        <v>0</v>
      </c>
      <c r="H56" s="37">
        <f t="shared" si="151"/>
        <v>0</v>
      </c>
      <c r="I56" s="37">
        <f t="shared" si="151"/>
        <v>0</v>
      </c>
      <c r="J56" s="37">
        <f t="shared" si="151"/>
        <v>0</v>
      </c>
      <c r="K56" s="37">
        <f t="shared" si="151"/>
        <v>0</v>
      </c>
      <c r="L56" s="37">
        <f t="shared" si="151"/>
        <v>0</v>
      </c>
      <c r="M56" s="37">
        <f t="shared" si="151"/>
        <v>0</v>
      </c>
      <c r="N56" s="37">
        <f t="shared" si="151"/>
        <v>0</v>
      </c>
      <c r="O56" s="37">
        <f t="shared" si="151"/>
        <v>0</v>
      </c>
      <c r="P56" s="37">
        <f t="shared" si="151"/>
        <v>0</v>
      </c>
      <c r="Q56" s="37">
        <f t="shared" si="151"/>
        <v>0</v>
      </c>
      <c r="R56" s="37">
        <f t="shared" si="151"/>
        <v>0</v>
      </c>
      <c r="S56" s="37">
        <f t="shared" si="151"/>
        <v>0</v>
      </c>
      <c r="T56" s="37">
        <f t="shared" si="149"/>
        <v>0</v>
      </c>
      <c r="U56" s="37">
        <f t="shared" si="149"/>
        <v>0</v>
      </c>
      <c r="V56" s="37">
        <f t="shared" si="149"/>
        <v>0</v>
      </c>
      <c r="W56" s="37">
        <f t="shared" si="149"/>
        <v>0</v>
      </c>
      <c r="X56" s="37">
        <f t="shared" si="149"/>
        <v>0</v>
      </c>
      <c r="Y56" s="37">
        <f t="shared" si="149"/>
        <v>0</v>
      </c>
      <c r="Z56" s="37">
        <f t="shared" si="149"/>
        <v>0</v>
      </c>
      <c r="AA56" s="37">
        <f t="shared" si="149"/>
        <v>0</v>
      </c>
      <c r="AB56" s="37">
        <f t="shared" si="149"/>
        <v>0</v>
      </c>
      <c r="AC56" s="37">
        <f t="shared" si="149"/>
        <v>0</v>
      </c>
      <c r="AD56" s="37">
        <f t="shared" si="149"/>
        <v>0</v>
      </c>
      <c r="AE56" s="37">
        <f t="shared" si="149"/>
        <v>0</v>
      </c>
      <c r="AF56" s="37">
        <f t="shared" si="149"/>
        <v>0</v>
      </c>
      <c r="AG56" s="37">
        <f t="shared" si="149"/>
        <v>0</v>
      </c>
      <c r="AH56" s="37">
        <f t="shared" ref="AH56:AQ56" si="152">AH30-AH43</f>
        <v>0</v>
      </c>
      <c r="AI56" s="37">
        <f t="shared" si="152"/>
        <v>0</v>
      </c>
      <c r="AJ56" s="37">
        <f t="shared" si="152"/>
        <v>0</v>
      </c>
      <c r="AK56" s="37">
        <f t="shared" si="152"/>
        <v>0</v>
      </c>
      <c r="AL56" s="37">
        <f t="shared" si="152"/>
        <v>0</v>
      </c>
      <c r="AM56" s="37">
        <f t="shared" si="152"/>
        <v>0</v>
      </c>
      <c r="AN56" s="37">
        <f t="shared" si="152"/>
        <v>0</v>
      </c>
      <c r="AO56" s="37">
        <f t="shared" si="152"/>
        <v>0</v>
      </c>
      <c r="AP56" s="37">
        <f t="shared" si="152"/>
        <v>0</v>
      </c>
      <c r="AQ56" s="37">
        <f t="shared" si="152"/>
        <v>0</v>
      </c>
    </row>
    <row r="57" spans="2:43" x14ac:dyDescent="0.2">
      <c r="B57" s="31" t="s">
        <v>393</v>
      </c>
      <c r="C57" s="37">
        <f t="shared" si="148"/>
        <v>0</v>
      </c>
      <c r="D57" s="37">
        <f t="shared" si="151"/>
        <v>0</v>
      </c>
      <c r="E57" s="37">
        <f t="shared" si="149"/>
        <v>0</v>
      </c>
      <c r="F57" s="37">
        <f t="shared" si="149"/>
        <v>0</v>
      </c>
      <c r="G57" s="37">
        <f t="shared" si="149"/>
        <v>0</v>
      </c>
      <c r="H57" s="37">
        <f t="shared" si="149"/>
        <v>0</v>
      </c>
      <c r="I57" s="37">
        <f t="shared" si="149"/>
        <v>0</v>
      </c>
      <c r="J57" s="37">
        <f t="shared" si="149"/>
        <v>0</v>
      </c>
      <c r="K57" s="37">
        <f t="shared" si="149"/>
        <v>0</v>
      </c>
      <c r="L57" s="37">
        <f t="shared" si="149"/>
        <v>0</v>
      </c>
      <c r="M57" s="37">
        <f t="shared" si="149"/>
        <v>0</v>
      </c>
      <c r="N57" s="37">
        <f t="shared" si="149"/>
        <v>0</v>
      </c>
      <c r="O57" s="37">
        <f t="shared" si="149"/>
        <v>0</v>
      </c>
      <c r="P57" s="37">
        <f t="shared" si="149"/>
        <v>0</v>
      </c>
      <c r="Q57" s="37">
        <f t="shared" si="149"/>
        <v>0</v>
      </c>
      <c r="R57" s="37">
        <f t="shared" si="149"/>
        <v>0</v>
      </c>
      <c r="S57" s="37">
        <f t="shared" si="149"/>
        <v>0</v>
      </c>
      <c r="T57" s="37">
        <f t="shared" si="149"/>
        <v>0</v>
      </c>
      <c r="U57" s="37">
        <f t="shared" si="149"/>
        <v>0</v>
      </c>
      <c r="V57" s="37">
        <f t="shared" si="149"/>
        <v>0</v>
      </c>
      <c r="W57" s="37">
        <f t="shared" si="149"/>
        <v>0</v>
      </c>
      <c r="X57" s="37">
        <f t="shared" si="149"/>
        <v>0</v>
      </c>
      <c r="Y57" s="37">
        <f t="shared" si="149"/>
        <v>0</v>
      </c>
      <c r="Z57" s="37">
        <f t="shared" si="149"/>
        <v>0</v>
      </c>
      <c r="AA57" s="37">
        <f t="shared" si="149"/>
        <v>0</v>
      </c>
      <c r="AB57" s="37">
        <f t="shared" si="149"/>
        <v>0</v>
      </c>
      <c r="AC57" s="37">
        <f t="shared" si="149"/>
        <v>0</v>
      </c>
      <c r="AD57" s="37">
        <f t="shared" si="149"/>
        <v>0</v>
      </c>
      <c r="AE57" s="37">
        <f t="shared" si="149"/>
        <v>0</v>
      </c>
      <c r="AF57" s="37">
        <f t="shared" si="149"/>
        <v>0</v>
      </c>
      <c r="AG57" s="37">
        <f t="shared" si="149"/>
        <v>0</v>
      </c>
      <c r="AH57" s="37">
        <f t="shared" ref="AH57:AQ57" si="153">AH31-AH44</f>
        <v>0</v>
      </c>
      <c r="AI57" s="37">
        <f t="shared" si="153"/>
        <v>0</v>
      </c>
      <c r="AJ57" s="37">
        <f t="shared" si="153"/>
        <v>0</v>
      </c>
      <c r="AK57" s="37">
        <f t="shared" si="153"/>
        <v>0</v>
      </c>
      <c r="AL57" s="37">
        <f t="shared" si="153"/>
        <v>0</v>
      </c>
      <c r="AM57" s="37">
        <f t="shared" si="153"/>
        <v>0</v>
      </c>
      <c r="AN57" s="37">
        <f t="shared" si="153"/>
        <v>0</v>
      </c>
      <c r="AO57" s="37">
        <f t="shared" si="153"/>
        <v>0</v>
      </c>
      <c r="AP57" s="37">
        <f t="shared" si="153"/>
        <v>0</v>
      </c>
      <c r="AQ57" s="37">
        <f t="shared" si="153"/>
        <v>0</v>
      </c>
    </row>
    <row r="58" spans="2:43" x14ac:dyDescent="0.2">
      <c r="B58" s="31" t="s">
        <v>394</v>
      </c>
      <c r="C58" s="37">
        <f t="shared" si="148"/>
        <v>0</v>
      </c>
      <c r="D58" s="37">
        <f t="shared" si="151"/>
        <v>0</v>
      </c>
      <c r="E58" s="37">
        <f t="shared" si="149"/>
        <v>0</v>
      </c>
      <c r="F58" s="37">
        <f t="shared" si="149"/>
        <v>0</v>
      </c>
      <c r="G58" s="37">
        <f t="shared" si="149"/>
        <v>0</v>
      </c>
      <c r="H58" s="37">
        <f t="shared" si="149"/>
        <v>0</v>
      </c>
      <c r="I58" s="37">
        <f t="shared" si="149"/>
        <v>0</v>
      </c>
      <c r="J58" s="37">
        <f t="shared" si="149"/>
        <v>0</v>
      </c>
      <c r="K58" s="37">
        <f t="shared" si="149"/>
        <v>0</v>
      </c>
      <c r="L58" s="37">
        <f t="shared" si="149"/>
        <v>0</v>
      </c>
      <c r="M58" s="37">
        <f t="shared" si="149"/>
        <v>0</v>
      </c>
      <c r="N58" s="37">
        <f t="shared" si="149"/>
        <v>0</v>
      </c>
      <c r="O58" s="37">
        <f t="shared" si="149"/>
        <v>0</v>
      </c>
      <c r="P58" s="37">
        <f t="shared" si="149"/>
        <v>0</v>
      </c>
      <c r="Q58" s="37">
        <f t="shared" si="149"/>
        <v>0</v>
      </c>
      <c r="R58" s="37">
        <f t="shared" si="149"/>
        <v>0</v>
      </c>
      <c r="S58" s="37">
        <f t="shared" si="149"/>
        <v>0</v>
      </c>
      <c r="T58" s="37">
        <f t="shared" si="149"/>
        <v>0</v>
      </c>
      <c r="U58" s="37">
        <f t="shared" si="149"/>
        <v>0</v>
      </c>
      <c r="V58" s="37">
        <f t="shared" si="149"/>
        <v>0</v>
      </c>
      <c r="W58" s="37">
        <f t="shared" si="149"/>
        <v>0</v>
      </c>
      <c r="X58" s="37">
        <f t="shared" si="149"/>
        <v>0</v>
      </c>
      <c r="Y58" s="37">
        <f t="shared" si="149"/>
        <v>0</v>
      </c>
      <c r="Z58" s="37">
        <f t="shared" si="149"/>
        <v>0</v>
      </c>
      <c r="AA58" s="37">
        <f t="shared" si="149"/>
        <v>0</v>
      </c>
      <c r="AB58" s="37">
        <f t="shared" si="149"/>
        <v>0</v>
      </c>
      <c r="AC58" s="37">
        <f t="shared" si="149"/>
        <v>0</v>
      </c>
      <c r="AD58" s="37">
        <f t="shared" si="149"/>
        <v>0</v>
      </c>
      <c r="AE58" s="37">
        <f t="shared" si="149"/>
        <v>0</v>
      </c>
      <c r="AF58" s="37">
        <f t="shared" si="149"/>
        <v>0</v>
      </c>
      <c r="AG58" s="37">
        <f t="shared" si="149"/>
        <v>0</v>
      </c>
      <c r="AH58" s="37">
        <f t="shared" ref="AH58:AQ58" si="154">AH32-AH45</f>
        <v>0</v>
      </c>
      <c r="AI58" s="37">
        <f t="shared" si="154"/>
        <v>0</v>
      </c>
      <c r="AJ58" s="37">
        <f t="shared" si="154"/>
        <v>0</v>
      </c>
      <c r="AK58" s="37">
        <f t="shared" si="154"/>
        <v>0</v>
      </c>
      <c r="AL58" s="37">
        <f t="shared" si="154"/>
        <v>0</v>
      </c>
      <c r="AM58" s="37">
        <f t="shared" si="154"/>
        <v>0</v>
      </c>
      <c r="AN58" s="37">
        <f t="shared" si="154"/>
        <v>0</v>
      </c>
      <c r="AO58" s="37">
        <f t="shared" si="154"/>
        <v>0</v>
      </c>
      <c r="AP58" s="37">
        <f t="shared" si="154"/>
        <v>0</v>
      </c>
      <c r="AQ58" s="37">
        <f t="shared" si="154"/>
        <v>0</v>
      </c>
    </row>
    <row r="59" spans="2:43" x14ac:dyDescent="0.2">
      <c r="B59" s="31" t="s">
        <v>135</v>
      </c>
      <c r="C59" s="37">
        <f t="shared" si="148"/>
        <v>0</v>
      </c>
      <c r="D59" s="37">
        <f t="shared" si="151"/>
        <v>0</v>
      </c>
      <c r="E59" s="37">
        <f t="shared" si="149"/>
        <v>0</v>
      </c>
      <c r="F59" s="37">
        <f t="shared" si="149"/>
        <v>0</v>
      </c>
      <c r="G59" s="37">
        <f t="shared" si="149"/>
        <v>0</v>
      </c>
      <c r="H59" s="37">
        <f t="shared" si="149"/>
        <v>0</v>
      </c>
      <c r="I59" s="37">
        <f t="shared" si="149"/>
        <v>0</v>
      </c>
      <c r="J59" s="37">
        <f t="shared" si="149"/>
        <v>0</v>
      </c>
      <c r="K59" s="37">
        <f t="shared" si="149"/>
        <v>0</v>
      </c>
      <c r="L59" s="37">
        <f t="shared" si="149"/>
        <v>0</v>
      </c>
      <c r="M59" s="37">
        <f t="shared" si="149"/>
        <v>0</v>
      </c>
      <c r="N59" s="37">
        <f t="shared" si="149"/>
        <v>0</v>
      </c>
      <c r="O59" s="37">
        <f t="shared" si="149"/>
        <v>0</v>
      </c>
      <c r="P59" s="37">
        <f t="shared" si="149"/>
        <v>0</v>
      </c>
      <c r="Q59" s="37">
        <f t="shared" si="149"/>
        <v>0</v>
      </c>
      <c r="R59" s="37">
        <f t="shared" si="149"/>
        <v>0</v>
      </c>
      <c r="S59" s="37">
        <f t="shared" si="149"/>
        <v>0</v>
      </c>
      <c r="T59" s="37">
        <f t="shared" si="149"/>
        <v>0</v>
      </c>
      <c r="U59" s="37">
        <f t="shared" si="149"/>
        <v>0</v>
      </c>
      <c r="V59" s="37">
        <f t="shared" si="149"/>
        <v>0</v>
      </c>
      <c r="W59" s="37">
        <f t="shared" si="149"/>
        <v>0</v>
      </c>
      <c r="X59" s="37">
        <f t="shared" si="149"/>
        <v>0</v>
      </c>
      <c r="Y59" s="37">
        <f t="shared" si="149"/>
        <v>0</v>
      </c>
      <c r="Z59" s="37">
        <f t="shared" si="149"/>
        <v>0</v>
      </c>
      <c r="AA59" s="37">
        <f t="shared" si="149"/>
        <v>0</v>
      </c>
      <c r="AB59" s="37">
        <f t="shared" si="149"/>
        <v>0</v>
      </c>
      <c r="AC59" s="37">
        <f t="shared" si="149"/>
        <v>0</v>
      </c>
      <c r="AD59" s="37">
        <f t="shared" si="149"/>
        <v>0</v>
      </c>
      <c r="AE59" s="37">
        <f t="shared" si="149"/>
        <v>0</v>
      </c>
      <c r="AF59" s="37">
        <f t="shared" si="149"/>
        <v>0</v>
      </c>
      <c r="AG59" s="37">
        <f t="shared" si="149"/>
        <v>0</v>
      </c>
      <c r="AH59" s="37">
        <f t="shared" ref="AH59:AQ59" si="155">AH33-AH46</f>
        <v>0</v>
      </c>
      <c r="AI59" s="37">
        <f t="shared" si="155"/>
        <v>0</v>
      </c>
      <c r="AJ59" s="37">
        <f t="shared" si="155"/>
        <v>0</v>
      </c>
      <c r="AK59" s="37">
        <f t="shared" si="155"/>
        <v>0</v>
      </c>
      <c r="AL59" s="37">
        <f t="shared" si="155"/>
        <v>0</v>
      </c>
      <c r="AM59" s="37">
        <f t="shared" si="155"/>
        <v>0</v>
      </c>
      <c r="AN59" s="37">
        <f t="shared" si="155"/>
        <v>0</v>
      </c>
      <c r="AO59" s="37">
        <f t="shared" si="155"/>
        <v>0</v>
      </c>
      <c r="AP59" s="37">
        <f t="shared" si="155"/>
        <v>0</v>
      </c>
      <c r="AQ59" s="37">
        <f t="shared" si="155"/>
        <v>0</v>
      </c>
    </row>
    <row r="60" spans="2:43" ht="11.65" customHeight="1" x14ac:dyDescent="0.2">
      <c r="B60" s="31" t="s">
        <v>132</v>
      </c>
      <c r="C60" s="37">
        <f t="shared" si="148"/>
        <v>0</v>
      </c>
      <c r="D60" s="37">
        <f t="shared" si="151"/>
        <v>0</v>
      </c>
      <c r="E60" s="37">
        <f t="shared" si="149"/>
        <v>0</v>
      </c>
      <c r="F60" s="37">
        <f t="shared" si="149"/>
        <v>0</v>
      </c>
      <c r="G60" s="37">
        <f t="shared" si="149"/>
        <v>0</v>
      </c>
      <c r="H60" s="37">
        <f t="shared" si="149"/>
        <v>0</v>
      </c>
      <c r="I60" s="37">
        <f t="shared" si="149"/>
        <v>0</v>
      </c>
      <c r="J60" s="37">
        <f t="shared" si="149"/>
        <v>0</v>
      </c>
      <c r="K60" s="37">
        <f t="shared" si="149"/>
        <v>0</v>
      </c>
      <c r="L60" s="37">
        <f t="shared" si="149"/>
        <v>0</v>
      </c>
      <c r="M60" s="37">
        <f t="shared" si="149"/>
        <v>0</v>
      </c>
      <c r="N60" s="37">
        <f t="shared" si="149"/>
        <v>0</v>
      </c>
      <c r="O60" s="37">
        <f t="shared" si="149"/>
        <v>0</v>
      </c>
      <c r="P60" s="37">
        <f t="shared" si="149"/>
        <v>0</v>
      </c>
      <c r="Q60" s="37">
        <f t="shared" si="149"/>
        <v>0</v>
      </c>
      <c r="R60" s="37">
        <f t="shared" si="149"/>
        <v>0</v>
      </c>
      <c r="S60" s="37">
        <f t="shared" si="149"/>
        <v>0</v>
      </c>
      <c r="T60" s="37">
        <f t="shared" si="149"/>
        <v>0</v>
      </c>
      <c r="U60" s="37">
        <f t="shared" si="149"/>
        <v>0</v>
      </c>
      <c r="V60" s="37">
        <f t="shared" si="149"/>
        <v>0</v>
      </c>
      <c r="W60" s="37">
        <f t="shared" si="149"/>
        <v>0</v>
      </c>
      <c r="X60" s="37">
        <f t="shared" si="149"/>
        <v>0</v>
      </c>
      <c r="Y60" s="37">
        <f t="shared" si="149"/>
        <v>0</v>
      </c>
      <c r="Z60" s="37">
        <f t="shared" si="149"/>
        <v>0</v>
      </c>
      <c r="AA60" s="37">
        <f t="shared" si="149"/>
        <v>0</v>
      </c>
      <c r="AB60" s="37">
        <f t="shared" si="149"/>
        <v>0</v>
      </c>
      <c r="AC60" s="37">
        <f t="shared" si="149"/>
        <v>0</v>
      </c>
      <c r="AD60" s="37">
        <f t="shared" si="149"/>
        <v>0</v>
      </c>
      <c r="AE60" s="37">
        <f t="shared" si="149"/>
        <v>0</v>
      </c>
      <c r="AF60" s="37">
        <f t="shared" si="149"/>
        <v>0</v>
      </c>
      <c r="AG60" s="37">
        <f t="shared" si="149"/>
        <v>0</v>
      </c>
      <c r="AH60" s="37">
        <f t="shared" ref="AH60:AQ60" si="156">AH34-AH47</f>
        <v>0</v>
      </c>
      <c r="AI60" s="37">
        <f t="shared" si="156"/>
        <v>0</v>
      </c>
      <c r="AJ60" s="37">
        <f t="shared" si="156"/>
        <v>0</v>
      </c>
      <c r="AK60" s="37">
        <f t="shared" si="156"/>
        <v>0</v>
      </c>
      <c r="AL60" s="37">
        <f t="shared" si="156"/>
        <v>0</v>
      </c>
      <c r="AM60" s="37">
        <f t="shared" si="156"/>
        <v>0</v>
      </c>
      <c r="AN60" s="37">
        <f t="shared" si="156"/>
        <v>0</v>
      </c>
      <c r="AO60" s="37">
        <f t="shared" si="156"/>
        <v>0</v>
      </c>
      <c r="AP60" s="37">
        <f t="shared" si="156"/>
        <v>0</v>
      </c>
      <c r="AQ60" s="37">
        <f t="shared" si="156"/>
        <v>0</v>
      </c>
    </row>
    <row r="61" spans="2:43" x14ac:dyDescent="0.2">
      <c r="B61" s="31" t="s">
        <v>136</v>
      </c>
      <c r="C61" s="37">
        <f t="shared" si="148"/>
        <v>0</v>
      </c>
      <c r="D61" s="37">
        <f t="shared" si="151"/>
        <v>0</v>
      </c>
      <c r="E61" s="37">
        <f t="shared" si="149"/>
        <v>0</v>
      </c>
      <c r="F61" s="37">
        <f t="shared" si="149"/>
        <v>0</v>
      </c>
      <c r="G61" s="37">
        <f t="shared" si="149"/>
        <v>0</v>
      </c>
      <c r="H61" s="37">
        <f t="shared" si="149"/>
        <v>0</v>
      </c>
      <c r="I61" s="37">
        <f t="shared" si="149"/>
        <v>0</v>
      </c>
      <c r="J61" s="37">
        <f t="shared" si="149"/>
        <v>0</v>
      </c>
      <c r="K61" s="37">
        <f t="shared" si="149"/>
        <v>0</v>
      </c>
      <c r="L61" s="37">
        <f t="shared" si="149"/>
        <v>0</v>
      </c>
      <c r="M61" s="37">
        <f t="shared" si="149"/>
        <v>0</v>
      </c>
      <c r="N61" s="37">
        <f t="shared" si="149"/>
        <v>0</v>
      </c>
      <c r="O61" s="37">
        <f t="shared" si="149"/>
        <v>0</v>
      </c>
      <c r="P61" s="37">
        <f t="shared" si="149"/>
        <v>0</v>
      </c>
      <c r="Q61" s="37">
        <f t="shared" si="149"/>
        <v>0</v>
      </c>
      <c r="R61" s="37">
        <f t="shared" si="149"/>
        <v>0</v>
      </c>
      <c r="S61" s="37">
        <f t="shared" si="149"/>
        <v>0</v>
      </c>
      <c r="T61" s="37">
        <f t="shared" si="149"/>
        <v>0</v>
      </c>
      <c r="U61" s="37">
        <f t="shared" si="149"/>
        <v>0</v>
      </c>
      <c r="V61" s="37">
        <f t="shared" si="149"/>
        <v>0</v>
      </c>
      <c r="W61" s="37">
        <f t="shared" si="149"/>
        <v>0</v>
      </c>
      <c r="X61" s="37">
        <f t="shared" si="149"/>
        <v>0</v>
      </c>
      <c r="Y61" s="37">
        <f t="shared" si="149"/>
        <v>0</v>
      </c>
      <c r="Z61" s="37">
        <f t="shared" si="149"/>
        <v>0</v>
      </c>
      <c r="AA61" s="37">
        <f t="shared" si="149"/>
        <v>0</v>
      </c>
      <c r="AB61" s="37">
        <f t="shared" si="149"/>
        <v>0</v>
      </c>
      <c r="AC61" s="37">
        <f t="shared" si="149"/>
        <v>0</v>
      </c>
      <c r="AD61" s="37">
        <f t="shared" si="149"/>
        <v>0</v>
      </c>
      <c r="AE61" s="37">
        <f t="shared" si="149"/>
        <v>0</v>
      </c>
      <c r="AF61" s="37">
        <f t="shared" si="149"/>
        <v>0</v>
      </c>
      <c r="AG61" s="37">
        <f t="shared" si="149"/>
        <v>0</v>
      </c>
      <c r="AH61" s="37">
        <f t="shared" ref="AH61:AQ61" si="157">AH35-AH48</f>
        <v>0</v>
      </c>
      <c r="AI61" s="37">
        <f t="shared" si="157"/>
        <v>0</v>
      </c>
      <c r="AJ61" s="37">
        <f t="shared" si="157"/>
        <v>0</v>
      </c>
      <c r="AK61" s="37">
        <f t="shared" si="157"/>
        <v>0</v>
      </c>
      <c r="AL61" s="37">
        <f t="shared" si="157"/>
        <v>0</v>
      </c>
      <c r="AM61" s="37">
        <f t="shared" si="157"/>
        <v>0</v>
      </c>
      <c r="AN61" s="37">
        <f t="shared" si="157"/>
        <v>0</v>
      </c>
      <c r="AO61" s="37">
        <f t="shared" si="157"/>
        <v>0</v>
      </c>
      <c r="AP61" s="37">
        <f t="shared" si="157"/>
        <v>0</v>
      </c>
      <c r="AQ61" s="37">
        <f t="shared" si="157"/>
        <v>0</v>
      </c>
    </row>
    <row r="62" spans="2:43" x14ac:dyDescent="0.2">
      <c r="B62" s="163" t="s">
        <v>59</v>
      </c>
      <c r="C62" s="164">
        <f t="shared" si="148"/>
        <v>0</v>
      </c>
      <c r="D62" s="165">
        <f>SUM(D55:D61)</f>
        <v>0</v>
      </c>
      <c r="E62" s="164">
        <f t="shared" ref="E62:AG62" si="158">SUM(E55:E61)</f>
        <v>0</v>
      </c>
      <c r="F62" s="164">
        <f t="shared" si="158"/>
        <v>0</v>
      </c>
      <c r="G62" s="164">
        <f t="shared" si="158"/>
        <v>0</v>
      </c>
      <c r="H62" s="164">
        <f t="shared" si="158"/>
        <v>0</v>
      </c>
      <c r="I62" s="164">
        <f t="shared" si="158"/>
        <v>0</v>
      </c>
      <c r="J62" s="164">
        <f t="shared" si="158"/>
        <v>0</v>
      </c>
      <c r="K62" s="164">
        <f t="shared" si="158"/>
        <v>0</v>
      </c>
      <c r="L62" s="164">
        <f t="shared" si="158"/>
        <v>0</v>
      </c>
      <c r="M62" s="164">
        <f t="shared" si="158"/>
        <v>0</v>
      </c>
      <c r="N62" s="164">
        <f t="shared" si="158"/>
        <v>0</v>
      </c>
      <c r="O62" s="164">
        <f t="shared" si="158"/>
        <v>0</v>
      </c>
      <c r="P62" s="164">
        <f t="shared" si="158"/>
        <v>0</v>
      </c>
      <c r="Q62" s="164">
        <f t="shared" si="158"/>
        <v>0</v>
      </c>
      <c r="R62" s="164">
        <f t="shared" si="158"/>
        <v>0</v>
      </c>
      <c r="S62" s="164">
        <f t="shared" si="158"/>
        <v>0</v>
      </c>
      <c r="T62" s="164">
        <f t="shared" si="158"/>
        <v>0</v>
      </c>
      <c r="U62" s="164">
        <f t="shared" si="158"/>
        <v>0</v>
      </c>
      <c r="V62" s="164">
        <f t="shared" si="158"/>
        <v>0</v>
      </c>
      <c r="W62" s="164">
        <f t="shared" si="158"/>
        <v>0</v>
      </c>
      <c r="X62" s="164">
        <f t="shared" si="158"/>
        <v>0</v>
      </c>
      <c r="Y62" s="164">
        <f t="shared" si="158"/>
        <v>0</v>
      </c>
      <c r="Z62" s="164">
        <f t="shared" si="158"/>
        <v>0</v>
      </c>
      <c r="AA62" s="164">
        <f t="shared" si="158"/>
        <v>0</v>
      </c>
      <c r="AB62" s="164">
        <f t="shared" si="158"/>
        <v>0</v>
      </c>
      <c r="AC62" s="164">
        <f t="shared" si="158"/>
        <v>0</v>
      </c>
      <c r="AD62" s="164">
        <f t="shared" si="158"/>
        <v>0</v>
      </c>
      <c r="AE62" s="164">
        <f t="shared" si="158"/>
        <v>0</v>
      </c>
      <c r="AF62" s="164">
        <f t="shared" si="158"/>
        <v>0</v>
      </c>
      <c r="AG62" s="164">
        <f t="shared" si="158"/>
        <v>0</v>
      </c>
      <c r="AH62" s="164">
        <f t="shared" ref="AH62:AQ62" si="159">SUM(AH55:AH61)</f>
        <v>0</v>
      </c>
      <c r="AI62" s="164">
        <f t="shared" si="159"/>
        <v>0</v>
      </c>
      <c r="AJ62" s="164">
        <f t="shared" si="159"/>
        <v>0</v>
      </c>
      <c r="AK62" s="164">
        <f t="shared" si="159"/>
        <v>0</v>
      </c>
      <c r="AL62" s="164">
        <f t="shared" si="159"/>
        <v>0</v>
      </c>
      <c r="AM62" s="164">
        <f t="shared" si="159"/>
        <v>0</v>
      </c>
      <c r="AN62" s="164">
        <f t="shared" si="159"/>
        <v>0</v>
      </c>
      <c r="AO62" s="164">
        <f t="shared" si="159"/>
        <v>0</v>
      </c>
      <c r="AP62" s="164">
        <f t="shared" si="159"/>
        <v>0</v>
      </c>
      <c r="AQ62" s="164">
        <f t="shared" si="159"/>
        <v>0</v>
      </c>
    </row>
    <row r="65" spans="2:43" x14ac:dyDescent="0.2">
      <c r="B65" s="124"/>
      <c r="C65" s="31"/>
      <c r="D65" s="31" t="s">
        <v>10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</row>
    <row r="66" spans="2:43" x14ac:dyDescent="0.2">
      <c r="B66" s="765" t="s">
        <v>435</v>
      </c>
      <c r="C66" s="32"/>
      <c r="D66" s="33">
        <v>1</v>
      </c>
      <c r="E66" s="33">
        <v>2</v>
      </c>
      <c r="F66" s="33">
        <v>3</v>
      </c>
      <c r="G66" s="33">
        <v>4</v>
      </c>
      <c r="H66" s="33">
        <v>5</v>
      </c>
      <c r="I66" s="33">
        <v>6</v>
      </c>
      <c r="J66" s="33">
        <v>7</v>
      </c>
      <c r="K66" s="33">
        <v>8</v>
      </c>
      <c r="L66" s="33">
        <v>9</v>
      </c>
      <c r="M66" s="33">
        <v>10</v>
      </c>
      <c r="N66" s="33">
        <v>11</v>
      </c>
      <c r="O66" s="33">
        <v>12</v>
      </c>
      <c r="P66" s="33">
        <v>13</v>
      </c>
      <c r="Q66" s="33">
        <v>14</v>
      </c>
      <c r="R66" s="33">
        <v>15</v>
      </c>
      <c r="S66" s="33">
        <v>16</v>
      </c>
      <c r="T66" s="33">
        <v>17</v>
      </c>
      <c r="U66" s="33">
        <v>18</v>
      </c>
      <c r="V66" s="33">
        <v>19</v>
      </c>
      <c r="W66" s="33">
        <v>20</v>
      </c>
      <c r="X66" s="33">
        <v>21</v>
      </c>
      <c r="Y66" s="33">
        <v>22</v>
      </c>
      <c r="Z66" s="33">
        <v>23</v>
      </c>
      <c r="AA66" s="33">
        <v>24</v>
      </c>
      <c r="AB66" s="33">
        <v>25</v>
      </c>
      <c r="AC66" s="33">
        <v>26</v>
      </c>
      <c r="AD66" s="33">
        <v>27</v>
      </c>
      <c r="AE66" s="33">
        <v>28</v>
      </c>
      <c r="AF66" s="33">
        <v>29</v>
      </c>
      <c r="AG66" s="33">
        <v>30</v>
      </c>
      <c r="AH66" s="33">
        <v>31</v>
      </c>
      <c r="AI66" s="33">
        <v>32</v>
      </c>
      <c r="AJ66" s="33">
        <v>33</v>
      </c>
      <c r="AK66" s="33">
        <v>34</v>
      </c>
      <c r="AL66" s="33">
        <v>35</v>
      </c>
      <c r="AM66" s="33">
        <v>36</v>
      </c>
      <c r="AN66" s="33">
        <v>37</v>
      </c>
      <c r="AO66" s="33">
        <v>38</v>
      </c>
      <c r="AP66" s="33">
        <v>39</v>
      </c>
      <c r="AQ66" s="33">
        <v>40</v>
      </c>
    </row>
    <row r="67" spans="2:43" x14ac:dyDescent="0.2">
      <c r="B67" s="766"/>
      <c r="C67" s="272" t="s">
        <v>9</v>
      </c>
      <c r="D67" s="35">
        <f t="shared" ref="D67:AG67" si="160">D4</f>
        <v>2025</v>
      </c>
      <c r="E67" s="35">
        <f t="shared" si="160"/>
        <v>2026</v>
      </c>
      <c r="F67" s="35">
        <f t="shared" si="160"/>
        <v>2027</v>
      </c>
      <c r="G67" s="35">
        <f t="shared" si="160"/>
        <v>2028</v>
      </c>
      <c r="H67" s="35">
        <f t="shared" si="160"/>
        <v>2029</v>
      </c>
      <c r="I67" s="35">
        <f t="shared" si="160"/>
        <v>2030</v>
      </c>
      <c r="J67" s="35">
        <f t="shared" si="160"/>
        <v>2031</v>
      </c>
      <c r="K67" s="35">
        <f t="shared" si="160"/>
        <v>2032</v>
      </c>
      <c r="L67" s="35">
        <f t="shared" si="160"/>
        <v>2033</v>
      </c>
      <c r="M67" s="35">
        <f t="shared" si="160"/>
        <v>2034</v>
      </c>
      <c r="N67" s="35">
        <f t="shared" si="160"/>
        <v>2035</v>
      </c>
      <c r="O67" s="35">
        <f t="shared" si="160"/>
        <v>2036</v>
      </c>
      <c r="P67" s="35">
        <f t="shared" si="160"/>
        <v>2037</v>
      </c>
      <c r="Q67" s="35">
        <f t="shared" si="160"/>
        <v>2038</v>
      </c>
      <c r="R67" s="35">
        <f t="shared" si="160"/>
        <v>2039</v>
      </c>
      <c r="S67" s="35">
        <f t="shared" si="160"/>
        <v>2040</v>
      </c>
      <c r="T67" s="35">
        <f t="shared" si="160"/>
        <v>2041</v>
      </c>
      <c r="U67" s="35">
        <f t="shared" si="160"/>
        <v>2042</v>
      </c>
      <c r="V67" s="35">
        <f t="shared" si="160"/>
        <v>2043</v>
      </c>
      <c r="W67" s="35">
        <f t="shared" si="160"/>
        <v>2044</v>
      </c>
      <c r="X67" s="35">
        <f t="shared" si="160"/>
        <v>2045</v>
      </c>
      <c r="Y67" s="35">
        <f t="shared" si="160"/>
        <v>2046</v>
      </c>
      <c r="Z67" s="35">
        <f t="shared" si="160"/>
        <v>2047</v>
      </c>
      <c r="AA67" s="35">
        <f t="shared" si="160"/>
        <v>2048</v>
      </c>
      <c r="AB67" s="35">
        <f t="shared" si="160"/>
        <v>2049</v>
      </c>
      <c r="AC67" s="35">
        <f t="shared" si="160"/>
        <v>2050</v>
      </c>
      <c r="AD67" s="35">
        <f t="shared" si="160"/>
        <v>2051</v>
      </c>
      <c r="AE67" s="35">
        <f t="shared" si="160"/>
        <v>2052</v>
      </c>
      <c r="AF67" s="35">
        <f t="shared" si="160"/>
        <v>2053</v>
      </c>
      <c r="AG67" s="35">
        <f t="shared" si="160"/>
        <v>2054</v>
      </c>
      <c r="AH67" s="35">
        <f t="shared" ref="AH67:AQ67" si="161">AH4</f>
        <v>2055</v>
      </c>
      <c r="AI67" s="35">
        <f t="shared" si="161"/>
        <v>2056</v>
      </c>
      <c r="AJ67" s="35">
        <f t="shared" si="161"/>
        <v>2057</v>
      </c>
      <c r="AK67" s="35">
        <f t="shared" si="161"/>
        <v>2058</v>
      </c>
      <c r="AL67" s="35">
        <f t="shared" si="161"/>
        <v>2059</v>
      </c>
      <c r="AM67" s="35">
        <f t="shared" si="161"/>
        <v>2060</v>
      </c>
      <c r="AN67" s="35">
        <f t="shared" si="161"/>
        <v>2061</v>
      </c>
      <c r="AO67" s="35">
        <f t="shared" si="161"/>
        <v>2062</v>
      </c>
      <c r="AP67" s="35">
        <f t="shared" si="161"/>
        <v>2063</v>
      </c>
      <c r="AQ67" s="35">
        <f t="shared" si="161"/>
        <v>2064</v>
      </c>
    </row>
    <row r="68" spans="2:43" x14ac:dyDescent="0.2">
      <c r="B68" s="31" t="s">
        <v>391</v>
      </c>
      <c r="C68" s="37">
        <f t="shared" ref="C68:C75" si="162">SUM(D68:AQ68)</f>
        <v>0</v>
      </c>
      <c r="D68" s="37">
        <f>D55*Parametre!C88</f>
        <v>0</v>
      </c>
      <c r="E68" s="37">
        <f>E55*Parametre!D88</f>
        <v>0</v>
      </c>
      <c r="F68" s="37">
        <f>F55*Parametre!E88</f>
        <v>0</v>
      </c>
      <c r="G68" s="37">
        <f>G55*Parametre!F88</f>
        <v>0</v>
      </c>
      <c r="H68" s="37">
        <f>H55*Parametre!G88</f>
        <v>0</v>
      </c>
      <c r="I68" s="37">
        <f>I55*Parametre!H88</f>
        <v>0</v>
      </c>
      <c r="J68" s="37">
        <f>J55*Parametre!I88</f>
        <v>0</v>
      </c>
      <c r="K68" s="37">
        <f>K55*Parametre!J88</f>
        <v>0</v>
      </c>
      <c r="L68" s="37">
        <f>L55*Parametre!K88</f>
        <v>0</v>
      </c>
      <c r="M68" s="37">
        <f>M55*Parametre!L88</f>
        <v>0</v>
      </c>
      <c r="N68" s="37">
        <f>N55*Parametre!M88</f>
        <v>0</v>
      </c>
      <c r="O68" s="37">
        <f>O55*Parametre!N88</f>
        <v>0</v>
      </c>
      <c r="P68" s="37">
        <f>P55*Parametre!O88</f>
        <v>0</v>
      </c>
      <c r="Q68" s="37">
        <f>Q55*Parametre!P88</f>
        <v>0</v>
      </c>
      <c r="R68" s="37">
        <f>R55*Parametre!Q88</f>
        <v>0</v>
      </c>
      <c r="S68" s="37">
        <f>S55*Parametre!R88</f>
        <v>0</v>
      </c>
      <c r="T68" s="37">
        <f>T55*Parametre!S88</f>
        <v>0</v>
      </c>
      <c r="U68" s="37">
        <f>U55*Parametre!T88</f>
        <v>0</v>
      </c>
      <c r="V68" s="37">
        <f>V55*Parametre!U88</f>
        <v>0</v>
      </c>
      <c r="W68" s="37">
        <f>W55*Parametre!V88</f>
        <v>0</v>
      </c>
      <c r="X68" s="37">
        <f>X55*Parametre!W88</f>
        <v>0</v>
      </c>
      <c r="Y68" s="37">
        <f>Y55*Parametre!X88</f>
        <v>0</v>
      </c>
      <c r="Z68" s="37">
        <f>Z55*Parametre!Y88</f>
        <v>0</v>
      </c>
      <c r="AA68" s="37">
        <f>AA55*Parametre!Z88</f>
        <v>0</v>
      </c>
      <c r="AB68" s="37">
        <f>AB55*Parametre!AA88</f>
        <v>0</v>
      </c>
      <c r="AC68" s="37">
        <f>AC55*Parametre!AB88</f>
        <v>0</v>
      </c>
      <c r="AD68" s="37">
        <f>AD55*Parametre!AC88</f>
        <v>0</v>
      </c>
      <c r="AE68" s="37">
        <f>AE55*Parametre!AD88</f>
        <v>0</v>
      </c>
      <c r="AF68" s="37">
        <f>AF55*Parametre!AE88</f>
        <v>0</v>
      </c>
      <c r="AG68" s="37">
        <f>AG55*Parametre!AF88</f>
        <v>0</v>
      </c>
      <c r="AH68" s="37">
        <f>AH55*Parametre!AG88</f>
        <v>0</v>
      </c>
      <c r="AI68" s="37">
        <f>AI55*Parametre!AH88</f>
        <v>0</v>
      </c>
      <c r="AJ68" s="37">
        <f>AJ55*Parametre!AI88</f>
        <v>0</v>
      </c>
      <c r="AK68" s="37">
        <f>AK55*Parametre!AJ88</f>
        <v>0</v>
      </c>
      <c r="AL68" s="37">
        <f>AL55*Parametre!AK88</f>
        <v>0</v>
      </c>
      <c r="AM68" s="37">
        <f>AM55*Parametre!AL88</f>
        <v>0</v>
      </c>
      <c r="AN68" s="37">
        <f>AN55*Parametre!AM88</f>
        <v>0</v>
      </c>
      <c r="AO68" s="37">
        <f>AO55*Parametre!AN88</f>
        <v>0</v>
      </c>
      <c r="AP68" s="37">
        <f>AP55*Parametre!AO88</f>
        <v>0</v>
      </c>
      <c r="AQ68" s="37">
        <f>AQ55*Parametre!AP88</f>
        <v>0</v>
      </c>
    </row>
    <row r="69" spans="2:43" x14ac:dyDescent="0.2">
      <c r="B69" s="31" t="s">
        <v>392</v>
      </c>
      <c r="C69" s="37">
        <f t="shared" si="162"/>
        <v>0</v>
      </c>
      <c r="D69" s="37">
        <f>D56*Parametre!C89</f>
        <v>0</v>
      </c>
      <c r="E69" s="37">
        <f>E56*Parametre!D89</f>
        <v>0</v>
      </c>
      <c r="F69" s="37">
        <f>F56*Parametre!E89</f>
        <v>0</v>
      </c>
      <c r="G69" s="37">
        <f>G56*Parametre!F89</f>
        <v>0</v>
      </c>
      <c r="H69" s="37">
        <f>H56*Parametre!G89</f>
        <v>0</v>
      </c>
      <c r="I69" s="37">
        <f>I56*Parametre!H89</f>
        <v>0</v>
      </c>
      <c r="J69" s="37">
        <f>J56*Parametre!I89</f>
        <v>0</v>
      </c>
      <c r="K69" s="37">
        <f>K56*Parametre!J89</f>
        <v>0</v>
      </c>
      <c r="L69" s="37">
        <f>L56*Parametre!K89</f>
        <v>0</v>
      </c>
      <c r="M69" s="37">
        <f>M56*Parametre!L89</f>
        <v>0</v>
      </c>
      <c r="N69" s="37">
        <f>N56*Parametre!M89</f>
        <v>0</v>
      </c>
      <c r="O69" s="37">
        <f>O56*Parametre!N89</f>
        <v>0</v>
      </c>
      <c r="P69" s="37">
        <f>P56*Parametre!O89</f>
        <v>0</v>
      </c>
      <c r="Q69" s="37">
        <f>Q56*Parametre!P89</f>
        <v>0</v>
      </c>
      <c r="R69" s="37">
        <f>R56*Parametre!Q89</f>
        <v>0</v>
      </c>
      <c r="S69" s="37">
        <f>S56*Parametre!R89</f>
        <v>0</v>
      </c>
      <c r="T69" s="37">
        <f>T56*Parametre!S89</f>
        <v>0</v>
      </c>
      <c r="U69" s="37">
        <f>U56*Parametre!T89</f>
        <v>0</v>
      </c>
      <c r="V69" s="37">
        <f>V56*Parametre!U89</f>
        <v>0</v>
      </c>
      <c r="W69" s="37">
        <f>W56*Parametre!V89</f>
        <v>0</v>
      </c>
      <c r="X69" s="37">
        <f>X56*Parametre!W89</f>
        <v>0</v>
      </c>
      <c r="Y69" s="37">
        <f>Y56*Parametre!X89</f>
        <v>0</v>
      </c>
      <c r="Z69" s="37">
        <f>Z56*Parametre!Y89</f>
        <v>0</v>
      </c>
      <c r="AA69" s="37">
        <f>AA56*Parametre!Z89</f>
        <v>0</v>
      </c>
      <c r="AB69" s="37">
        <f>AB56*Parametre!AA89</f>
        <v>0</v>
      </c>
      <c r="AC69" s="37">
        <f>AC56*Parametre!AB89</f>
        <v>0</v>
      </c>
      <c r="AD69" s="37">
        <f>AD56*Parametre!AC89</f>
        <v>0</v>
      </c>
      <c r="AE69" s="37">
        <f>AE56*Parametre!AD89</f>
        <v>0</v>
      </c>
      <c r="AF69" s="37">
        <f>AF56*Parametre!AE89</f>
        <v>0</v>
      </c>
      <c r="AG69" s="37">
        <f>AG56*Parametre!AF89</f>
        <v>0</v>
      </c>
      <c r="AH69" s="37">
        <f>AH56*Parametre!AG89</f>
        <v>0</v>
      </c>
      <c r="AI69" s="37">
        <f>AI56*Parametre!AH89</f>
        <v>0</v>
      </c>
      <c r="AJ69" s="37">
        <f>AJ56*Parametre!AI89</f>
        <v>0</v>
      </c>
      <c r="AK69" s="37">
        <f>AK56*Parametre!AJ89</f>
        <v>0</v>
      </c>
      <c r="AL69" s="37">
        <f>AL56*Parametre!AK89</f>
        <v>0</v>
      </c>
      <c r="AM69" s="37">
        <f>AM56*Parametre!AL89</f>
        <v>0</v>
      </c>
      <c r="AN69" s="37">
        <f>AN56*Parametre!AM89</f>
        <v>0</v>
      </c>
      <c r="AO69" s="37">
        <f>AO56*Parametre!AN89</f>
        <v>0</v>
      </c>
      <c r="AP69" s="37">
        <f>AP56*Parametre!AO89</f>
        <v>0</v>
      </c>
      <c r="AQ69" s="37">
        <f>AQ56*Parametre!AP89</f>
        <v>0</v>
      </c>
    </row>
    <row r="70" spans="2:43" x14ac:dyDescent="0.2">
      <c r="B70" s="31" t="s">
        <v>393</v>
      </c>
      <c r="C70" s="37">
        <f t="shared" si="162"/>
        <v>0</v>
      </c>
      <c r="D70" s="37">
        <f>D57*Parametre!C90</f>
        <v>0</v>
      </c>
      <c r="E70" s="37">
        <f>E57*Parametre!D90</f>
        <v>0</v>
      </c>
      <c r="F70" s="37">
        <f>F57*Parametre!E90</f>
        <v>0</v>
      </c>
      <c r="G70" s="37">
        <f>G57*Parametre!F90</f>
        <v>0</v>
      </c>
      <c r="H70" s="37">
        <f>H57*Parametre!G90</f>
        <v>0</v>
      </c>
      <c r="I70" s="37">
        <f>I57*Parametre!H90</f>
        <v>0</v>
      </c>
      <c r="J70" s="37">
        <f>J57*Parametre!I90</f>
        <v>0</v>
      </c>
      <c r="K70" s="37">
        <f>K57*Parametre!J90</f>
        <v>0</v>
      </c>
      <c r="L70" s="37">
        <f>L57*Parametre!K90</f>
        <v>0</v>
      </c>
      <c r="M70" s="37">
        <f>M57*Parametre!L90</f>
        <v>0</v>
      </c>
      <c r="N70" s="37">
        <f>N57*Parametre!M90</f>
        <v>0</v>
      </c>
      <c r="O70" s="37">
        <f>O57*Parametre!N90</f>
        <v>0</v>
      </c>
      <c r="P70" s="37">
        <f>P57*Parametre!O90</f>
        <v>0</v>
      </c>
      <c r="Q70" s="37">
        <f>Q57*Parametre!P90</f>
        <v>0</v>
      </c>
      <c r="R70" s="37">
        <f>R57*Parametre!Q90</f>
        <v>0</v>
      </c>
      <c r="S70" s="37">
        <f>S57*Parametre!R90</f>
        <v>0</v>
      </c>
      <c r="T70" s="37">
        <f>T57*Parametre!S90</f>
        <v>0</v>
      </c>
      <c r="U70" s="37">
        <f>U57*Parametre!T90</f>
        <v>0</v>
      </c>
      <c r="V70" s="37">
        <f>V57*Parametre!U90</f>
        <v>0</v>
      </c>
      <c r="W70" s="37">
        <f>W57*Parametre!V90</f>
        <v>0</v>
      </c>
      <c r="X70" s="37">
        <f>X57*Parametre!W90</f>
        <v>0</v>
      </c>
      <c r="Y70" s="37">
        <f>Y57*Parametre!X90</f>
        <v>0</v>
      </c>
      <c r="Z70" s="37">
        <f>Z57*Parametre!Y90</f>
        <v>0</v>
      </c>
      <c r="AA70" s="37">
        <f>AA57*Parametre!Z90</f>
        <v>0</v>
      </c>
      <c r="AB70" s="37">
        <f>AB57*Parametre!AA90</f>
        <v>0</v>
      </c>
      <c r="AC70" s="37">
        <f>AC57*Parametre!AB90</f>
        <v>0</v>
      </c>
      <c r="AD70" s="37">
        <f>AD57*Parametre!AC90</f>
        <v>0</v>
      </c>
      <c r="AE70" s="37">
        <f>AE57*Parametre!AD90</f>
        <v>0</v>
      </c>
      <c r="AF70" s="37">
        <f>AF57*Parametre!AE90</f>
        <v>0</v>
      </c>
      <c r="AG70" s="37">
        <f>AG57*Parametre!AF90</f>
        <v>0</v>
      </c>
      <c r="AH70" s="37">
        <f>AH57*Parametre!AG90</f>
        <v>0</v>
      </c>
      <c r="AI70" s="37">
        <f>AI57*Parametre!AH90</f>
        <v>0</v>
      </c>
      <c r="AJ70" s="37">
        <f>AJ57*Parametre!AI90</f>
        <v>0</v>
      </c>
      <c r="AK70" s="37">
        <f>AK57*Parametre!AJ90</f>
        <v>0</v>
      </c>
      <c r="AL70" s="37">
        <f>AL57*Parametre!AK90</f>
        <v>0</v>
      </c>
      <c r="AM70" s="37">
        <f>AM57*Parametre!AL90</f>
        <v>0</v>
      </c>
      <c r="AN70" s="37">
        <f>AN57*Parametre!AM90</f>
        <v>0</v>
      </c>
      <c r="AO70" s="37">
        <f>AO57*Parametre!AN90</f>
        <v>0</v>
      </c>
      <c r="AP70" s="37">
        <f>AP57*Parametre!AO90</f>
        <v>0</v>
      </c>
      <c r="AQ70" s="37">
        <f>AQ57*Parametre!AP90</f>
        <v>0</v>
      </c>
    </row>
    <row r="71" spans="2:43" x14ac:dyDescent="0.2">
      <c r="B71" s="31" t="s">
        <v>394</v>
      </c>
      <c r="C71" s="37">
        <f t="shared" si="162"/>
        <v>0</v>
      </c>
      <c r="D71" s="37">
        <f>D58*Parametre!C91</f>
        <v>0</v>
      </c>
      <c r="E71" s="37">
        <f>E58*Parametre!D91</f>
        <v>0</v>
      </c>
      <c r="F71" s="37">
        <f>F58*Parametre!E91</f>
        <v>0</v>
      </c>
      <c r="G71" s="37">
        <f>G58*Parametre!F91</f>
        <v>0</v>
      </c>
      <c r="H71" s="37">
        <f>H58*Parametre!G91</f>
        <v>0</v>
      </c>
      <c r="I71" s="37">
        <f>I58*Parametre!H91</f>
        <v>0</v>
      </c>
      <c r="J71" s="37">
        <f>J58*Parametre!I91</f>
        <v>0</v>
      </c>
      <c r="K71" s="37">
        <f>K58*Parametre!J91</f>
        <v>0</v>
      </c>
      <c r="L71" s="37">
        <f>L58*Parametre!K91</f>
        <v>0</v>
      </c>
      <c r="M71" s="37">
        <f>M58*Parametre!L91</f>
        <v>0</v>
      </c>
      <c r="N71" s="37">
        <f>N58*Parametre!M91</f>
        <v>0</v>
      </c>
      <c r="O71" s="37">
        <f>O58*Parametre!N91</f>
        <v>0</v>
      </c>
      <c r="P71" s="37">
        <f>P58*Parametre!O91</f>
        <v>0</v>
      </c>
      <c r="Q71" s="37">
        <f>Q58*Parametre!P91</f>
        <v>0</v>
      </c>
      <c r="R71" s="37">
        <f>R58*Parametre!Q91</f>
        <v>0</v>
      </c>
      <c r="S71" s="37">
        <f>S58*Parametre!R91</f>
        <v>0</v>
      </c>
      <c r="T71" s="37">
        <f>T58*Parametre!S91</f>
        <v>0</v>
      </c>
      <c r="U71" s="37">
        <f>U58*Parametre!T91</f>
        <v>0</v>
      </c>
      <c r="V71" s="37">
        <f>V58*Parametre!U91</f>
        <v>0</v>
      </c>
      <c r="W71" s="37">
        <f>W58*Parametre!V91</f>
        <v>0</v>
      </c>
      <c r="X71" s="37">
        <f>X58*Parametre!W91</f>
        <v>0</v>
      </c>
      <c r="Y71" s="37">
        <f>Y58*Parametre!X91</f>
        <v>0</v>
      </c>
      <c r="Z71" s="37">
        <f>Z58*Parametre!Y91</f>
        <v>0</v>
      </c>
      <c r="AA71" s="37">
        <f>AA58*Parametre!Z91</f>
        <v>0</v>
      </c>
      <c r="AB71" s="37">
        <f>AB58*Parametre!AA91</f>
        <v>0</v>
      </c>
      <c r="AC71" s="37">
        <f>AC58*Parametre!AB91</f>
        <v>0</v>
      </c>
      <c r="AD71" s="37">
        <f>AD58*Parametre!AC91</f>
        <v>0</v>
      </c>
      <c r="AE71" s="37">
        <f>AE58*Parametre!AD91</f>
        <v>0</v>
      </c>
      <c r="AF71" s="37">
        <f>AF58*Parametre!AE91</f>
        <v>0</v>
      </c>
      <c r="AG71" s="37">
        <f>AG58*Parametre!AF91</f>
        <v>0</v>
      </c>
      <c r="AH71" s="37">
        <f>AH58*Parametre!AG91</f>
        <v>0</v>
      </c>
      <c r="AI71" s="37">
        <f>AI58*Parametre!AH91</f>
        <v>0</v>
      </c>
      <c r="AJ71" s="37">
        <f>AJ58*Parametre!AI91</f>
        <v>0</v>
      </c>
      <c r="AK71" s="37">
        <f>AK58*Parametre!AJ91</f>
        <v>0</v>
      </c>
      <c r="AL71" s="37">
        <f>AL58*Parametre!AK91</f>
        <v>0</v>
      </c>
      <c r="AM71" s="37">
        <f>AM58*Parametre!AL91</f>
        <v>0</v>
      </c>
      <c r="AN71" s="37">
        <f>AN58*Parametre!AM91</f>
        <v>0</v>
      </c>
      <c r="AO71" s="37">
        <f>AO58*Parametre!AN91</f>
        <v>0</v>
      </c>
      <c r="AP71" s="37">
        <f>AP58*Parametre!AO91</f>
        <v>0</v>
      </c>
      <c r="AQ71" s="37">
        <f>AQ58*Parametre!AP91</f>
        <v>0</v>
      </c>
    </row>
    <row r="72" spans="2:43" x14ac:dyDescent="0.2">
      <c r="B72" s="31" t="s">
        <v>135</v>
      </c>
      <c r="C72" s="37">
        <f t="shared" si="162"/>
        <v>0</v>
      </c>
      <c r="D72" s="37">
        <f>D59*Parametre!C92</f>
        <v>0</v>
      </c>
      <c r="E72" s="37">
        <f>E59*Parametre!D92</f>
        <v>0</v>
      </c>
      <c r="F72" s="37">
        <f>F59*Parametre!E92</f>
        <v>0</v>
      </c>
      <c r="G72" s="37">
        <f>G59*Parametre!F92</f>
        <v>0</v>
      </c>
      <c r="H72" s="37">
        <f>H59*Parametre!G92</f>
        <v>0</v>
      </c>
      <c r="I72" s="37">
        <f>I59*Parametre!H92</f>
        <v>0</v>
      </c>
      <c r="J72" s="37">
        <f>J59*Parametre!I92</f>
        <v>0</v>
      </c>
      <c r="K72" s="37">
        <f>K59*Parametre!J92</f>
        <v>0</v>
      </c>
      <c r="L72" s="37">
        <f>L59*Parametre!K92</f>
        <v>0</v>
      </c>
      <c r="M72" s="37">
        <f>M59*Parametre!L92</f>
        <v>0</v>
      </c>
      <c r="N72" s="37">
        <f>N59*Parametre!M92</f>
        <v>0</v>
      </c>
      <c r="O72" s="37">
        <f>O59*Parametre!N92</f>
        <v>0</v>
      </c>
      <c r="P72" s="37">
        <f>P59*Parametre!O92</f>
        <v>0</v>
      </c>
      <c r="Q72" s="37">
        <f>Q59*Parametre!P92</f>
        <v>0</v>
      </c>
      <c r="R72" s="37">
        <f>R59*Parametre!Q92</f>
        <v>0</v>
      </c>
      <c r="S72" s="37">
        <f>S59*Parametre!R92</f>
        <v>0</v>
      </c>
      <c r="T72" s="37">
        <f>T59*Parametre!S92</f>
        <v>0</v>
      </c>
      <c r="U72" s="37">
        <f>U59*Parametre!T92</f>
        <v>0</v>
      </c>
      <c r="V72" s="37">
        <f>V59*Parametre!U92</f>
        <v>0</v>
      </c>
      <c r="W72" s="37">
        <f>W59*Parametre!V92</f>
        <v>0</v>
      </c>
      <c r="X72" s="37">
        <f>X59*Parametre!W92</f>
        <v>0</v>
      </c>
      <c r="Y72" s="37">
        <f>Y59*Parametre!X92</f>
        <v>0</v>
      </c>
      <c r="Z72" s="37">
        <f>Z59*Parametre!Y92</f>
        <v>0</v>
      </c>
      <c r="AA72" s="37">
        <f>AA59*Parametre!Z92</f>
        <v>0</v>
      </c>
      <c r="AB72" s="37">
        <f>AB59*Parametre!AA92</f>
        <v>0</v>
      </c>
      <c r="AC72" s="37">
        <f>AC59*Parametre!AB92</f>
        <v>0</v>
      </c>
      <c r="AD72" s="37">
        <f>AD59*Parametre!AC92</f>
        <v>0</v>
      </c>
      <c r="AE72" s="37">
        <f>AE59*Parametre!AD92</f>
        <v>0</v>
      </c>
      <c r="AF72" s="37">
        <f>AF59*Parametre!AE92</f>
        <v>0</v>
      </c>
      <c r="AG72" s="37">
        <f>AG59*Parametre!AF92</f>
        <v>0</v>
      </c>
      <c r="AH72" s="37">
        <f>AH59*Parametre!AG92</f>
        <v>0</v>
      </c>
      <c r="AI72" s="37">
        <f>AI59*Parametre!AH92</f>
        <v>0</v>
      </c>
      <c r="AJ72" s="37">
        <f>AJ59*Parametre!AI92</f>
        <v>0</v>
      </c>
      <c r="AK72" s="37">
        <f>AK59*Parametre!AJ92</f>
        <v>0</v>
      </c>
      <c r="AL72" s="37">
        <f>AL59*Parametre!AK92</f>
        <v>0</v>
      </c>
      <c r="AM72" s="37">
        <f>AM59*Parametre!AL92</f>
        <v>0</v>
      </c>
      <c r="AN72" s="37">
        <f>AN59*Parametre!AM92</f>
        <v>0</v>
      </c>
      <c r="AO72" s="37">
        <f>AO59*Parametre!AN92</f>
        <v>0</v>
      </c>
      <c r="AP72" s="37">
        <f>AP59*Parametre!AO92</f>
        <v>0</v>
      </c>
      <c r="AQ72" s="37">
        <f>AQ59*Parametre!AP92</f>
        <v>0</v>
      </c>
    </row>
    <row r="73" spans="2:43" ht="11.65" customHeight="1" x14ac:dyDescent="0.2">
      <c r="B73" s="31" t="s">
        <v>132</v>
      </c>
      <c r="C73" s="37">
        <f t="shared" si="162"/>
        <v>0</v>
      </c>
      <c r="D73" s="37">
        <f>D60*Parametre!C93</f>
        <v>0</v>
      </c>
      <c r="E73" s="37">
        <f>E60*Parametre!D93</f>
        <v>0</v>
      </c>
      <c r="F73" s="37">
        <f>F60*Parametre!E93</f>
        <v>0</v>
      </c>
      <c r="G73" s="37">
        <f>G60*Parametre!F93</f>
        <v>0</v>
      </c>
      <c r="H73" s="37">
        <f>H60*Parametre!G93</f>
        <v>0</v>
      </c>
      <c r="I73" s="37">
        <f>I60*Parametre!H93</f>
        <v>0</v>
      </c>
      <c r="J73" s="37">
        <f>J60*Parametre!I93</f>
        <v>0</v>
      </c>
      <c r="K73" s="37">
        <f>K60*Parametre!J93</f>
        <v>0</v>
      </c>
      <c r="L73" s="37">
        <f>L60*Parametre!K93</f>
        <v>0</v>
      </c>
      <c r="M73" s="37">
        <f>M60*Parametre!L93</f>
        <v>0</v>
      </c>
      <c r="N73" s="37">
        <f>N60*Parametre!M93</f>
        <v>0</v>
      </c>
      <c r="O73" s="37">
        <f>O60*Parametre!N93</f>
        <v>0</v>
      </c>
      <c r="P73" s="37">
        <f>P60*Parametre!O93</f>
        <v>0</v>
      </c>
      <c r="Q73" s="37">
        <f>Q60*Parametre!P93</f>
        <v>0</v>
      </c>
      <c r="R73" s="37">
        <f>R60*Parametre!Q93</f>
        <v>0</v>
      </c>
      <c r="S73" s="37">
        <f>S60*Parametre!R93</f>
        <v>0</v>
      </c>
      <c r="T73" s="37">
        <f>T60*Parametre!S93</f>
        <v>0</v>
      </c>
      <c r="U73" s="37">
        <f>U60*Parametre!T93</f>
        <v>0</v>
      </c>
      <c r="V73" s="37">
        <f>V60*Parametre!U93</f>
        <v>0</v>
      </c>
      <c r="W73" s="37">
        <f>W60*Parametre!V93</f>
        <v>0</v>
      </c>
      <c r="X73" s="37">
        <f>X60*Parametre!W93</f>
        <v>0</v>
      </c>
      <c r="Y73" s="37">
        <f>Y60*Parametre!X93</f>
        <v>0</v>
      </c>
      <c r="Z73" s="37">
        <f>Z60*Parametre!Y93</f>
        <v>0</v>
      </c>
      <c r="AA73" s="37">
        <f>AA60*Parametre!Z93</f>
        <v>0</v>
      </c>
      <c r="AB73" s="37">
        <f>AB60*Parametre!AA93</f>
        <v>0</v>
      </c>
      <c r="AC73" s="37">
        <f>AC60*Parametre!AB93</f>
        <v>0</v>
      </c>
      <c r="AD73" s="37">
        <f>AD60*Parametre!AC93</f>
        <v>0</v>
      </c>
      <c r="AE73" s="37">
        <f>AE60*Parametre!AD93</f>
        <v>0</v>
      </c>
      <c r="AF73" s="37">
        <f>AF60*Parametre!AE93</f>
        <v>0</v>
      </c>
      <c r="AG73" s="37">
        <f>AG60*Parametre!AF93</f>
        <v>0</v>
      </c>
      <c r="AH73" s="37">
        <f>AH60*Parametre!AG93</f>
        <v>0</v>
      </c>
      <c r="AI73" s="37">
        <f>AI60*Parametre!AH93</f>
        <v>0</v>
      </c>
      <c r="AJ73" s="37">
        <f>AJ60*Parametre!AI93</f>
        <v>0</v>
      </c>
      <c r="AK73" s="37">
        <f>AK60*Parametre!AJ93</f>
        <v>0</v>
      </c>
      <c r="AL73" s="37">
        <f>AL60*Parametre!AK93</f>
        <v>0</v>
      </c>
      <c r="AM73" s="37">
        <f>AM60*Parametre!AL93</f>
        <v>0</v>
      </c>
      <c r="AN73" s="37">
        <f>AN60*Parametre!AM93</f>
        <v>0</v>
      </c>
      <c r="AO73" s="37">
        <f>AO60*Parametre!AN93</f>
        <v>0</v>
      </c>
      <c r="AP73" s="37">
        <f>AP60*Parametre!AO93</f>
        <v>0</v>
      </c>
      <c r="AQ73" s="37">
        <f>AQ60*Parametre!AP93</f>
        <v>0</v>
      </c>
    </row>
    <row r="74" spans="2:43" x14ac:dyDescent="0.2">
      <c r="B74" s="31" t="s">
        <v>136</v>
      </c>
      <c r="C74" s="37">
        <f t="shared" si="162"/>
        <v>0</v>
      </c>
      <c r="D74" s="37">
        <f>D61*Parametre!C94</f>
        <v>0</v>
      </c>
      <c r="E74" s="37">
        <f>E61*Parametre!D94</f>
        <v>0</v>
      </c>
      <c r="F74" s="37">
        <f>F61*Parametre!E94</f>
        <v>0</v>
      </c>
      <c r="G74" s="37">
        <f>G61*Parametre!F94</f>
        <v>0</v>
      </c>
      <c r="H74" s="37">
        <f>H61*Parametre!G94</f>
        <v>0</v>
      </c>
      <c r="I74" s="37">
        <f>I61*Parametre!H94</f>
        <v>0</v>
      </c>
      <c r="J74" s="37">
        <f>J61*Parametre!I94</f>
        <v>0</v>
      </c>
      <c r="K74" s="37">
        <f>K61*Parametre!J94</f>
        <v>0</v>
      </c>
      <c r="L74" s="37">
        <f>L61*Parametre!K94</f>
        <v>0</v>
      </c>
      <c r="M74" s="37">
        <f>M61*Parametre!L94</f>
        <v>0</v>
      </c>
      <c r="N74" s="37">
        <f>N61*Parametre!M94</f>
        <v>0</v>
      </c>
      <c r="O74" s="37">
        <f>O61*Parametre!N94</f>
        <v>0</v>
      </c>
      <c r="P74" s="37">
        <f>P61*Parametre!O94</f>
        <v>0</v>
      </c>
      <c r="Q74" s="37">
        <f>Q61*Parametre!P94</f>
        <v>0</v>
      </c>
      <c r="R74" s="37">
        <f>R61*Parametre!Q94</f>
        <v>0</v>
      </c>
      <c r="S74" s="37">
        <f>S61*Parametre!R94</f>
        <v>0</v>
      </c>
      <c r="T74" s="37">
        <f>T61*Parametre!S94</f>
        <v>0</v>
      </c>
      <c r="U74" s="37">
        <f>U61*Parametre!T94</f>
        <v>0</v>
      </c>
      <c r="V74" s="37">
        <f>V61*Parametre!U94</f>
        <v>0</v>
      </c>
      <c r="W74" s="37">
        <f>W61*Parametre!V94</f>
        <v>0</v>
      </c>
      <c r="X74" s="37">
        <f>X61*Parametre!W94</f>
        <v>0</v>
      </c>
      <c r="Y74" s="37">
        <f>Y61*Parametre!X94</f>
        <v>0</v>
      </c>
      <c r="Z74" s="37">
        <f>Z61*Parametre!Y94</f>
        <v>0</v>
      </c>
      <c r="AA74" s="37">
        <f>AA61*Parametre!Z94</f>
        <v>0</v>
      </c>
      <c r="AB74" s="37">
        <f>AB61*Parametre!AA94</f>
        <v>0</v>
      </c>
      <c r="AC74" s="37">
        <f>AC61*Parametre!AB94</f>
        <v>0</v>
      </c>
      <c r="AD74" s="37">
        <f>AD61*Parametre!AC94</f>
        <v>0</v>
      </c>
      <c r="AE74" s="37">
        <f>AE61*Parametre!AD94</f>
        <v>0</v>
      </c>
      <c r="AF74" s="37">
        <f>AF61*Parametre!AE94</f>
        <v>0</v>
      </c>
      <c r="AG74" s="37">
        <f>AG61*Parametre!AF94</f>
        <v>0</v>
      </c>
      <c r="AH74" s="37">
        <f>AH61*Parametre!AG94</f>
        <v>0</v>
      </c>
      <c r="AI74" s="37">
        <f>AI61*Parametre!AH94</f>
        <v>0</v>
      </c>
      <c r="AJ74" s="37">
        <f>AJ61*Parametre!AI94</f>
        <v>0</v>
      </c>
      <c r="AK74" s="37">
        <f>AK61*Parametre!AJ94</f>
        <v>0</v>
      </c>
      <c r="AL74" s="37">
        <f>AL61*Parametre!AK94</f>
        <v>0</v>
      </c>
      <c r="AM74" s="37">
        <f>AM61*Parametre!AL94</f>
        <v>0</v>
      </c>
      <c r="AN74" s="37">
        <f>AN61*Parametre!AM94</f>
        <v>0</v>
      </c>
      <c r="AO74" s="37">
        <f>AO61*Parametre!AN94</f>
        <v>0</v>
      </c>
      <c r="AP74" s="37">
        <f>AP61*Parametre!AO94</f>
        <v>0</v>
      </c>
      <c r="AQ74" s="37">
        <f>AQ61*Parametre!AP94</f>
        <v>0</v>
      </c>
    </row>
    <row r="75" spans="2:43" x14ac:dyDescent="0.2">
      <c r="B75" s="160" t="s">
        <v>289</v>
      </c>
      <c r="C75" s="161">
        <f t="shared" si="162"/>
        <v>0</v>
      </c>
      <c r="D75" s="162">
        <f>SUM(D68:D74)</f>
        <v>0</v>
      </c>
      <c r="E75" s="161">
        <f t="shared" ref="E75:AG75" si="163">SUM(E68:E74)</f>
        <v>0</v>
      </c>
      <c r="F75" s="161">
        <f t="shared" si="163"/>
        <v>0</v>
      </c>
      <c r="G75" s="161">
        <f t="shared" si="163"/>
        <v>0</v>
      </c>
      <c r="H75" s="161">
        <f t="shared" si="163"/>
        <v>0</v>
      </c>
      <c r="I75" s="161">
        <f t="shared" si="163"/>
        <v>0</v>
      </c>
      <c r="J75" s="161">
        <f t="shared" si="163"/>
        <v>0</v>
      </c>
      <c r="K75" s="161">
        <f t="shared" si="163"/>
        <v>0</v>
      </c>
      <c r="L75" s="161">
        <f t="shared" si="163"/>
        <v>0</v>
      </c>
      <c r="M75" s="161">
        <f t="shared" si="163"/>
        <v>0</v>
      </c>
      <c r="N75" s="161">
        <f t="shared" si="163"/>
        <v>0</v>
      </c>
      <c r="O75" s="161">
        <f t="shared" si="163"/>
        <v>0</v>
      </c>
      <c r="P75" s="161">
        <f t="shared" si="163"/>
        <v>0</v>
      </c>
      <c r="Q75" s="161">
        <f t="shared" si="163"/>
        <v>0</v>
      </c>
      <c r="R75" s="161">
        <f t="shared" si="163"/>
        <v>0</v>
      </c>
      <c r="S75" s="161">
        <f t="shared" si="163"/>
        <v>0</v>
      </c>
      <c r="T75" s="161">
        <f t="shared" si="163"/>
        <v>0</v>
      </c>
      <c r="U75" s="161">
        <f t="shared" si="163"/>
        <v>0</v>
      </c>
      <c r="V75" s="161">
        <f t="shared" si="163"/>
        <v>0</v>
      </c>
      <c r="W75" s="161">
        <f t="shared" si="163"/>
        <v>0</v>
      </c>
      <c r="X75" s="161">
        <f t="shared" si="163"/>
        <v>0</v>
      </c>
      <c r="Y75" s="161">
        <f t="shared" si="163"/>
        <v>0</v>
      </c>
      <c r="Z75" s="161">
        <f t="shared" si="163"/>
        <v>0</v>
      </c>
      <c r="AA75" s="161">
        <f t="shared" si="163"/>
        <v>0</v>
      </c>
      <c r="AB75" s="161">
        <f t="shared" si="163"/>
        <v>0</v>
      </c>
      <c r="AC75" s="161">
        <f t="shared" si="163"/>
        <v>0</v>
      </c>
      <c r="AD75" s="161">
        <f t="shared" si="163"/>
        <v>0</v>
      </c>
      <c r="AE75" s="161">
        <f t="shared" si="163"/>
        <v>0</v>
      </c>
      <c r="AF75" s="161">
        <f t="shared" si="163"/>
        <v>0</v>
      </c>
      <c r="AG75" s="161">
        <f t="shared" si="163"/>
        <v>0</v>
      </c>
      <c r="AH75" s="161">
        <f t="shared" ref="AH75:AQ75" si="164">SUM(AH68:AH74)</f>
        <v>0</v>
      </c>
      <c r="AI75" s="161">
        <f t="shared" si="164"/>
        <v>0</v>
      </c>
      <c r="AJ75" s="161">
        <f t="shared" si="164"/>
        <v>0</v>
      </c>
      <c r="AK75" s="161">
        <f t="shared" si="164"/>
        <v>0</v>
      </c>
      <c r="AL75" s="161">
        <f t="shared" si="164"/>
        <v>0</v>
      </c>
      <c r="AM75" s="161">
        <f t="shared" si="164"/>
        <v>0</v>
      </c>
      <c r="AN75" s="161">
        <f t="shared" si="164"/>
        <v>0</v>
      </c>
      <c r="AO75" s="161">
        <f t="shared" si="164"/>
        <v>0</v>
      </c>
      <c r="AP75" s="161">
        <f t="shared" si="164"/>
        <v>0</v>
      </c>
      <c r="AQ75" s="161">
        <f t="shared" si="164"/>
        <v>0</v>
      </c>
    </row>
    <row r="77" spans="2:43" x14ac:dyDescent="0.2">
      <c r="B77" s="30" t="s">
        <v>2</v>
      </c>
    </row>
    <row r="78" spans="2:43" x14ac:dyDescent="0.2">
      <c r="B78" s="30" t="s">
        <v>279</v>
      </c>
    </row>
  </sheetData>
  <sheetProtection algorithmName="SHA-512" hashValue="R+Km7klPlCz6qnFYGwpEYBomHPri/qT76HMqZ+l50vFgCMwt0nkcIUX7QP/+zyS2gHfc6geFGrFi2wsL73DVSQ==" saltValue="lCm7WBX+uI5jSRRr2hVo7g==" spinCount="100000" sheet="1" objects="1" scenarios="1"/>
  <mergeCells count="1">
    <mergeCell ref="B66:B67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49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CFF99"/>
  </sheetPr>
  <dimension ref="B2:AL51"/>
  <sheetViews>
    <sheetView zoomScale="90" zoomScaleNormal="90" workbookViewId="0"/>
  </sheetViews>
  <sheetFormatPr defaultColWidth="9.140625" defaultRowHeight="11.25" x14ac:dyDescent="0.2"/>
  <cols>
    <col min="1" max="1" width="3.85546875" style="259" customWidth="1"/>
    <col min="2" max="2" width="54.42578125" style="259" bestFit="1" customWidth="1"/>
    <col min="3" max="3" width="10.140625" style="259" bestFit="1" customWidth="1"/>
    <col min="4" max="38" width="8" style="259" bestFit="1" customWidth="1"/>
    <col min="39" max="16384" width="9.140625" style="259"/>
  </cols>
  <sheetData>
    <row r="2" spans="2:38" x14ac:dyDescent="0.2">
      <c r="B2" s="260"/>
      <c r="C2" s="260"/>
      <c r="D2" s="260" t="s">
        <v>10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</row>
    <row r="3" spans="2:38" x14ac:dyDescent="0.2">
      <c r="B3" s="261" t="s">
        <v>436</v>
      </c>
      <c r="C3" s="261"/>
      <c r="D3" s="262">
        <v>1</v>
      </c>
      <c r="E3" s="262">
        <v>2</v>
      </c>
      <c r="F3" s="262">
        <v>3</v>
      </c>
      <c r="G3" s="262">
        <v>4</v>
      </c>
      <c r="H3" s="262">
        <v>5</v>
      </c>
      <c r="I3" s="262">
        <v>6</v>
      </c>
      <c r="J3" s="262">
        <v>7</v>
      </c>
      <c r="K3" s="262">
        <v>8</v>
      </c>
      <c r="L3" s="262">
        <v>9</v>
      </c>
      <c r="M3" s="262">
        <v>10</v>
      </c>
      <c r="N3" s="262">
        <v>11</v>
      </c>
      <c r="O3" s="262">
        <v>12</v>
      </c>
      <c r="P3" s="262">
        <v>13</v>
      </c>
      <c r="Q3" s="262">
        <v>14</v>
      </c>
      <c r="R3" s="262">
        <v>15</v>
      </c>
      <c r="S3" s="262">
        <v>16</v>
      </c>
      <c r="T3" s="262">
        <v>17</v>
      </c>
      <c r="U3" s="262">
        <v>18</v>
      </c>
      <c r="V3" s="262">
        <v>19</v>
      </c>
      <c r="W3" s="262">
        <v>20</v>
      </c>
      <c r="X3" s="262">
        <v>21</v>
      </c>
      <c r="Y3" s="262">
        <v>22</v>
      </c>
      <c r="Z3" s="262">
        <v>23</v>
      </c>
      <c r="AA3" s="262">
        <v>24</v>
      </c>
      <c r="AB3" s="262">
        <v>25</v>
      </c>
      <c r="AC3" s="262">
        <v>26</v>
      </c>
      <c r="AD3" s="262">
        <v>27</v>
      </c>
      <c r="AE3" s="262">
        <v>28</v>
      </c>
      <c r="AF3" s="262">
        <v>29</v>
      </c>
      <c r="AG3" s="262">
        <v>30</v>
      </c>
      <c r="AH3" s="262">
        <v>31</v>
      </c>
      <c r="AI3" s="262">
        <v>32</v>
      </c>
      <c r="AJ3" s="262">
        <v>33</v>
      </c>
      <c r="AK3" s="262">
        <v>34</v>
      </c>
      <c r="AL3" s="262">
        <v>35</v>
      </c>
    </row>
    <row r="4" spans="2:38" x14ac:dyDescent="0.2">
      <c r="B4" s="263" t="s">
        <v>33</v>
      </c>
      <c r="C4" s="264" t="s">
        <v>9</v>
      </c>
      <c r="D4" s="265">
        <v>2025</v>
      </c>
      <c r="E4" s="265">
        <f>D4+$D$3</f>
        <v>2026</v>
      </c>
      <c r="F4" s="265">
        <f t="shared" ref="F4:AG4" si="0">E4+$D$3</f>
        <v>2027</v>
      </c>
      <c r="G4" s="265">
        <f t="shared" si="0"/>
        <v>2028</v>
      </c>
      <c r="H4" s="265">
        <f t="shared" si="0"/>
        <v>2029</v>
      </c>
      <c r="I4" s="265">
        <f t="shared" si="0"/>
        <v>2030</v>
      </c>
      <c r="J4" s="265">
        <f t="shared" si="0"/>
        <v>2031</v>
      </c>
      <c r="K4" s="265">
        <f t="shared" si="0"/>
        <v>2032</v>
      </c>
      <c r="L4" s="265">
        <f t="shared" si="0"/>
        <v>2033</v>
      </c>
      <c r="M4" s="265">
        <f t="shared" si="0"/>
        <v>2034</v>
      </c>
      <c r="N4" s="265">
        <f t="shared" si="0"/>
        <v>2035</v>
      </c>
      <c r="O4" s="265">
        <f t="shared" si="0"/>
        <v>2036</v>
      </c>
      <c r="P4" s="265">
        <f t="shared" si="0"/>
        <v>2037</v>
      </c>
      <c r="Q4" s="265">
        <f t="shared" si="0"/>
        <v>2038</v>
      </c>
      <c r="R4" s="265">
        <f t="shared" si="0"/>
        <v>2039</v>
      </c>
      <c r="S4" s="265">
        <f t="shared" si="0"/>
        <v>2040</v>
      </c>
      <c r="T4" s="265">
        <f t="shared" si="0"/>
        <v>2041</v>
      </c>
      <c r="U4" s="265">
        <f t="shared" si="0"/>
        <v>2042</v>
      </c>
      <c r="V4" s="265">
        <f t="shared" si="0"/>
        <v>2043</v>
      </c>
      <c r="W4" s="265">
        <f t="shared" si="0"/>
        <v>2044</v>
      </c>
      <c r="X4" s="265">
        <f t="shared" si="0"/>
        <v>2045</v>
      </c>
      <c r="Y4" s="265">
        <f t="shared" si="0"/>
        <v>2046</v>
      </c>
      <c r="Z4" s="265">
        <f t="shared" si="0"/>
        <v>2047</v>
      </c>
      <c r="AA4" s="265">
        <f t="shared" si="0"/>
        <v>2048</v>
      </c>
      <c r="AB4" s="265">
        <f t="shared" si="0"/>
        <v>2049</v>
      </c>
      <c r="AC4" s="265">
        <f t="shared" si="0"/>
        <v>2050</v>
      </c>
      <c r="AD4" s="265">
        <f t="shared" si="0"/>
        <v>2051</v>
      </c>
      <c r="AE4" s="265">
        <f t="shared" si="0"/>
        <v>2052</v>
      </c>
      <c r="AF4" s="265">
        <f t="shared" si="0"/>
        <v>2053</v>
      </c>
      <c r="AG4" s="265">
        <f t="shared" si="0"/>
        <v>2054</v>
      </c>
      <c r="AH4" s="265">
        <f t="shared" ref="AH4" si="1">AG4+$D$3</f>
        <v>2055</v>
      </c>
      <c r="AI4" s="265">
        <f t="shared" ref="AI4" si="2">AH4+$D$3</f>
        <v>2056</v>
      </c>
      <c r="AJ4" s="265">
        <f t="shared" ref="AJ4" si="3">AI4+$D$3</f>
        <v>2057</v>
      </c>
      <c r="AK4" s="265">
        <f t="shared" ref="AK4" si="4">AJ4+$D$3</f>
        <v>2058</v>
      </c>
      <c r="AL4" s="265">
        <f t="shared" ref="AL4" si="5">AK4+$D$3</f>
        <v>2059</v>
      </c>
    </row>
    <row r="5" spans="2:38" x14ac:dyDescent="0.2">
      <c r="B5" s="31" t="s">
        <v>391</v>
      </c>
      <c r="C5" s="266">
        <f t="shared" ref="C5:C12" si="6">SUM(D5:AL5)</f>
        <v>0</v>
      </c>
      <c r="D5" s="267">
        <v>0</v>
      </c>
      <c r="E5" s="267">
        <v>0</v>
      </c>
      <c r="F5" s="267">
        <v>0</v>
      </c>
      <c r="G5" s="267">
        <v>0</v>
      </c>
      <c r="H5" s="267">
        <v>0</v>
      </c>
      <c r="I5" s="267">
        <v>0</v>
      </c>
      <c r="J5" s="267">
        <v>0</v>
      </c>
      <c r="K5" s="267">
        <v>0</v>
      </c>
      <c r="L5" s="267">
        <v>0</v>
      </c>
      <c r="M5" s="267">
        <v>0</v>
      </c>
      <c r="N5" s="267">
        <v>0</v>
      </c>
      <c r="O5" s="267">
        <v>0</v>
      </c>
      <c r="P5" s="267">
        <v>0</v>
      </c>
      <c r="Q5" s="267">
        <v>0</v>
      </c>
      <c r="R5" s="267">
        <v>0</v>
      </c>
      <c r="S5" s="267">
        <v>0</v>
      </c>
      <c r="T5" s="267">
        <v>0</v>
      </c>
      <c r="U5" s="267">
        <v>0</v>
      </c>
      <c r="V5" s="267">
        <v>0</v>
      </c>
      <c r="W5" s="267">
        <v>0</v>
      </c>
      <c r="X5" s="267">
        <v>0</v>
      </c>
      <c r="Y5" s="267">
        <v>0</v>
      </c>
      <c r="Z5" s="267">
        <v>0</v>
      </c>
      <c r="AA5" s="267">
        <v>0</v>
      </c>
      <c r="AB5" s="267">
        <v>0</v>
      </c>
      <c r="AC5" s="267">
        <v>0</v>
      </c>
      <c r="AD5" s="267">
        <v>0</v>
      </c>
      <c r="AE5" s="267">
        <v>0</v>
      </c>
      <c r="AF5" s="267">
        <v>0</v>
      </c>
      <c r="AG5" s="267">
        <v>0</v>
      </c>
      <c r="AH5" s="267">
        <v>0</v>
      </c>
      <c r="AI5" s="267">
        <v>0</v>
      </c>
      <c r="AJ5" s="267">
        <v>0</v>
      </c>
      <c r="AK5" s="267">
        <v>0</v>
      </c>
      <c r="AL5" s="267">
        <v>0</v>
      </c>
    </row>
    <row r="6" spans="2:38" x14ac:dyDescent="0.2">
      <c r="B6" s="31" t="s">
        <v>392</v>
      </c>
      <c r="C6" s="266">
        <f t="shared" si="6"/>
        <v>336120.73663016077</v>
      </c>
      <c r="D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E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F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G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H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I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J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K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L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M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N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O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P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Q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R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S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T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U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V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W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X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Y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Z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AA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AB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AC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AD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AE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AF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AG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AH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AI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AJ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AK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  <c r="AL6" s="267">
        <f>('10_A Bezpečnosť (cesty)'!$D$50*Parametre!$BA$158*Parametre!$D$165*Parametre!$C$98*Parametre!$C$222+'10_A Bezpečnosť (cesty)'!$D$50*Parametre!$BA$159*Parametre!$D$166*Parametre!$C$99*Parametre!$C$223)/1000</f>
        <v>9603.4496180045935</v>
      </c>
    </row>
    <row r="7" spans="2:38" x14ac:dyDescent="0.2">
      <c r="B7" s="31" t="s">
        <v>393</v>
      </c>
      <c r="C7" s="266">
        <f t="shared" si="6"/>
        <v>0</v>
      </c>
      <c r="D7" s="267">
        <v>0</v>
      </c>
      <c r="E7" s="267">
        <v>0</v>
      </c>
      <c r="F7" s="267">
        <v>0</v>
      </c>
      <c r="G7" s="267">
        <v>0</v>
      </c>
      <c r="H7" s="267">
        <v>0</v>
      </c>
      <c r="I7" s="267">
        <v>0</v>
      </c>
      <c r="J7" s="267">
        <v>0</v>
      </c>
      <c r="K7" s="267">
        <v>0</v>
      </c>
      <c r="L7" s="267">
        <v>0</v>
      </c>
      <c r="M7" s="267">
        <v>0</v>
      </c>
      <c r="N7" s="267">
        <v>0</v>
      </c>
      <c r="O7" s="267">
        <v>0</v>
      </c>
      <c r="P7" s="267">
        <v>0</v>
      </c>
      <c r="Q7" s="267">
        <v>0</v>
      </c>
      <c r="R7" s="267">
        <v>0</v>
      </c>
      <c r="S7" s="267">
        <v>0</v>
      </c>
      <c r="T7" s="267">
        <v>0</v>
      </c>
      <c r="U7" s="267">
        <v>0</v>
      </c>
      <c r="V7" s="267">
        <v>0</v>
      </c>
      <c r="W7" s="267">
        <v>0</v>
      </c>
      <c r="X7" s="267">
        <v>0</v>
      </c>
      <c r="Y7" s="267">
        <v>0</v>
      </c>
      <c r="Z7" s="267">
        <v>0</v>
      </c>
      <c r="AA7" s="267">
        <v>0</v>
      </c>
      <c r="AB7" s="267">
        <v>0</v>
      </c>
      <c r="AC7" s="267">
        <v>0</v>
      </c>
      <c r="AD7" s="267">
        <v>0</v>
      </c>
      <c r="AE7" s="267">
        <v>0</v>
      </c>
      <c r="AF7" s="267">
        <v>0</v>
      </c>
      <c r="AG7" s="267">
        <v>0</v>
      </c>
      <c r="AH7" s="267">
        <v>0</v>
      </c>
      <c r="AI7" s="267">
        <v>0</v>
      </c>
      <c r="AJ7" s="267">
        <v>0</v>
      </c>
      <c r="AK7" s="267">
        <v>0</v>
      </c>
      <c r="AL7" s="267">
        <v>0</v>
      </c>
    </row>
    <row r="8" spans="2:38" x14ac:dyDescent="0.2">
      <c r="B8" s="31" t="s">
        <v>394</v>
      </c>
      <c r="C8" s="266">
        <f t="shared" si="6"/>
        <v>6957673.27514714</v>
      </c>
      <c r="D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E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F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G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H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I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J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K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L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M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N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O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P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Q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R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S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T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U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V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W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X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Y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Z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AA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AB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AC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AD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AE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AF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AG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AH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AI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AJ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AK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  <c r="AL8" s="267">
        <f>('10_A Bezpečnosť (cesty)'!$D$50*Parametre!$BA$158*Parametre!$D$165*Parametre!$C$98*Parametre!$D$222+'10_A Bezpečnosť (cesty)'!$D$50*Parametre!$BA$159*Parametre!$D$166*Parametre!$C$99*Parametre!$D$223)/1000</f>
        <v>198790.66500420397</v>
      </c>
    </row>
    <row r="9" spans="2:38" x14ac:dyDescent="0.2">
      <c r="B9" s="31" t="s">
        <v>135</v>
      </c>
      <c r="C9" s="266">
        <f t="shared" si="6"/>
        <v>13073.125585426542</v>
      </c>
      <c r="D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E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F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G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H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I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J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K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L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M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N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O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P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Q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R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S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T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U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V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W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X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Y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Z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AA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AB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AC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AD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AE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AF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AG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AH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AI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AJ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AK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  <c r="AL9" s="267">
        <f>('10_A Bezpečnosť (cesty)'!$D$50*Parametre!$BA$158*Parametre!$D$165*Parametre!$C$98*Parametre!$E$222+'10_A Bezpečnosť (cesty)'!$D$50*Parametre!$BA$159*Parametre!$D$166*Parametre!$C$99*Parametre!$E$223)/1000</f>
        <v>373.51787386932955</v>
      </c>
    </row>
    <row r="10" spans="2:38" ht="11.65" customHeight="1" x14ac:dyDescent="0.2">
      <c r="B10" s="31" t="s">
        <v>132</v>
      </c>
      <c r="C10" s="266">
        <f t="shared" si="6"/>
        <v>3803471.4934465555</v>
      </c>
      <c r="D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E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F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G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H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I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J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K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L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M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N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O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P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Q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R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S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T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U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V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W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X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Y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Z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AA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AB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AC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AD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AE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AF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AG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AH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AI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AJ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AK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  <c r="AL10" s="267">
        <f>('10_A Bezpečnosť (cesty)'!$D$50*Parametre!$BA$158*Parametre!$D$165*Parametre!$C$98*Parametre!$F$222+'10_A Bezpečnosť (cesty)'!$D$50*Parametre!$BA$159*Parametre!$D$166*Parametre!$C$99*Parametre!$F$223)/1000</f>
        <v>108670.61409847307</v>
      </c>
    </row>
    <row r="11" spans="2:38" x14ac:dyDescent="0.2">
      <c r="B11" s="31" t="s">
        <v>136</v>
      </c>
      <c r="C11" s="266">
        <f t="shared" si="6"/>
        <v>415011.13344384998</v>
      </c>
      <c r="D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E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F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G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H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I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J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K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L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M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N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O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P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Q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R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S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T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U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V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W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X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Y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Z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AA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AB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AC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AD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AE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AF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AG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AH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AI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AJ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AK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  <c r="AL11" s="267">
        <f>('10_A Bezpečnosť (cesty)'!$D$50*Parametre!$BA$158*Parametre!$D$165*Parametre!$C$98*Parametre!$G$222+'10_A Bezpečnosť (cesty)'!$D$50*Parametre!$BA$159*Parametre!$D$166*Parametre!$C$99*Parametre!$G$223)/1000</f>
        <v>11857.460955538576</v>
      </c>
    </row>
    <row r="12" spans="2:38" x14ac:dyDescent="0.2">
      <c r="B12" s="261" t="s">
        <v>9</v>
      </c>
      <c r="C12" s="268">
        <f t="shared" si="6"/>
        <v>11525349.764253138</v>
      </c>
      <c r="D12" s="268">
        <f>SUM(D5:D11)</f>
        <v>329295.70755008952</v>
      </c>
      <c r="E12" s="268">
        <f t="shared" ref="E12:AG12" si="7">SUM(E5:E11)</f>
        <v>329295.70755008952</v>
      </c>
      <c r="F12" s="268">
        <f t="shared" si="7"/>
        <v>329295.70755008952</v>
      </c>
      <c r="G12" s="268">
        <f t="shared" si="7"/>
        <v>329295.70755008952</v>
      </c>
      <c r="H12" s="268">
        <f t="shared" si="7"/>
        <v>329295.70755008952</v>
      </c>
      <c r="I12" s="268">
        <f t="shared" si="7"/>
        <v>329295.70755008952</v>
      </c>
      <c r="J12" s="268">
        <f t="shared" si="7"/>
        <v>329295.70755008952</v>
      </c>
      <c r="K12" s="268">
        <f t="shared" si="7"/>
        <v>329295.70755008952</v>
      </c>
      <c r="L12" s="268">
        <f t="shared" si="7"/>
        <v>329295.70755008952</v>
      </c>
      <c r="M12" s="268">
        <f t="shared" si="7"/>
        <v>329295.70755008952</v>
      </c>
      <c r="N12" s="268">
        <f t="shared" si="7"/>
        <v>329295.70755008952</v>
      </c>
      <c r="O12" s="268">
        <f t="shared" si="7"/>
        <v>329295.70755008952</v>
      </c>
      <c r="P12" s="268">
        <f t="shared" si="7"/>
        <v>329295.70755008952</v>
      </c>
      <c r="Q12" s="268">
        <f t="shared" si="7"/>
        <v>329295.70755008952</v>
      </c>
      <c r="R12" s="268">
        <f t="shared" si="7"/>
        <v>329295.70755008952</v>
      </c>
      <c r="S12" s="268">
        <f t="shared" si="7"/>
        <v>329295.70755008952</v>
      </c>
      <c r="T12" s="268">
        <f t="shared" si="7"/>
        <v>329295.70755008952</v>
      </c>
      <c r="U12" s="268">
        <f t="shared" si="7"/>
        <v>329295.70755008952</v>
      </c>
      <c r="V12" s="268">
        <f t="shared" si="7"/>
        <v>329295.70755008952</v>
      </c>
      <c r="W12" s="268">
        <f t="shared" si="7"/>
        <v>329295.70755008952</v>
      </c>
      <c r="X12" s="268">
        <f t="shared" si="7"/>
        <v>329295.70755008952</v>
      </c>
      <c r="Y12" s="268">
        <f t="shared" si="7"/>
        <v>329295.70755008952</v>
      </c>
      <c r="Z12" s="268">
        <f t="shared" si="7"/>
        <v>329295.70755008952</v>
      </c>
      <c r="AA12" s="268">
        <f t="shared" si="7"/>
        <v>329295.70755008952</v>
      </c>
      <c r="AB12" s="268">
        <f t="shared" si="7"/>
        <v>329295.70755008952</v>
      </c>
      <c r="AC12" s="268">
        <f t="shared" si="7"/>
        <v>329295.70755008952</v>
      </c>
      <c r="AD12" s="268">
        <f t="shared" si="7"/>
        <v>329295.70755008952</v>
      </c>
      <c r="AE12" s="268">
        <f t="shared" si="7"/>
        <v>329295.70755008952</v>
      </c>
      <c r="AF12" s="268">
        <f t="shared" si="7"/>
        <v>329295.70755008952</v>
      </c>
      <c r="AG12" s="268">
        <f t="shared" si="7"/>
        <v>329295.70755008952</v>
      </c>
      <c r="AH12" s="268">
        <f t="shared" ref="AH12:AL12" si="8">SUM(AH5:AH11)</f>
        <v>329295.70755008952</v>
      </c>
      <c r="AI12" s="268">
        <f t="shared" si="8"/>
        <v>329295.70755008952</v>
      </c>
      <c r="AJ12" s="268">
        <f t="shared" si="8"/>
        <v>329295.70755008952</v>
      </c>
      <c r="AK12" s="268">
        <f t="shared" si="8"/>
        <v>329295.70755008952</v>
      </c>
      <c r="AL12" s="268">
        <f t="shared" si="8"/>
        <v>329295.70755008952</v>
      </c>
    </row>
    <row r="15" spans="2:38" x14ac:dyDescent="0.2">
      <c r="B15" s="260"/>
      <c r="C15" s="260"/>
      <c r="D15" s="260" t="s">
        <v>10</v>
      </c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  <c r="AA15" s="260"/>
      <c r="AB15" s="260"/>
      <c r="AC15" s="260"/>
      <c r="AD15" s="260"/>
      <c r="AE15" s="260"/>
      <c r="AF15" s="260"/>
      <c r="AG15" s="260"/>
      <c r="AH15" s="260"/>
      <c r="AI15" s="260"/>
      <c r="AJ15" s="260"/>
      <c r="AK15" s="260"/>
      <c r="AL15" s="260"/>
    </row>
    <row r="16" spans="2:38" x14ac:dyDescent="0.2">
      <c r="B16" s="261" t="s">
        <v>437</v>
      </c>
      <c r="C16" s="261"/>
      <c r="D16" s="262">
        <v>1</v>
      </c>
      <c r="E16" s="262">
        <v>2</v>
      </c>
      <c r="F16" s="262">
        <v>3</v>
      </c>
      <c r="G16" s="262">
        <v>4</v>
      </c>
      <c r="H16" s="262">
        <v>5</v>
      </c>
      <c r="I16" s="262">
        <v>6</v>
      </c>
      <c r="J16" s="262">
        <v>7</v>
      </c>
      <c r="K16" s="262">
        <v>8</v>
      </c>
      <c r="L16" s="262">
        <v>9</v>
      </c>
      <c r="M16" s="262">
        <v>10</v>
      </c>
      <c r="N16" s="262">
        <v>11</v>
      </c>
      <c r="O16" s="262">
        <v>12</v>
      </c>
      <c r="P16" s="262">
        <v>13</v>
      </c>
      <c r="Q16" s="262">
        <v>14</v>
      </c>
      <c r="R16" s="262">
        <v>15</v>
      </c>
      <c r="S16" s="262">
        <v>16</v>
      </c>
      <c r="T16" s="262">
        <v>17</v>
      </c>
      <c r="U16" s="262">
        <v>18</v>
      </c>
      <c r="V16" s="262">
        <v>19</v>
      </c>
      <c r="W16" s="262">
        <v>20</v>
      </c>
      <c r="X16" s="262">
        <v>21</v>
      </c>
      <c r="Y16" s="262">
        <v>22</v>
      </c>
      <c r="Z16" s="262">
        <v>23</v>
      </c>
      <c r="AA16" s="262">
        <v>24</v>
      </c>
      <c r="AB16" s="262">
        <v>25</v>
      </c>
      <c r="AC16" s="262">
        <v>26</v>
      </c>
      <c r="AD16" s="262">
        <v>27</v>
      </c>
      <c r="AE16" s="262">
        <v>28</v>
      </c>
      <c r="AF16" s="262">
        <v>29</v>
      </c>
      <c r="AG16" s="262">
        <v>30</v>
      </c>
      <c r="AH16" s="262">
        <v>31</v>
      </c>
      <c r="AI16" s="262">
        <v>32</v>
      </c>
      <c r="AJ16" s="262">
        <v>33</v>
      </c>
      <c r="AK16" s="262">
        <v>34</v>
      </c>
      <c r="AL16" s="262">
        <v>35</v>
      </c>
    </row>
    <row r="17" spans="2:38" x14ac:dyDescent="0.2">
      <c r="B17" s="263" t="s">
        <v>34</v>
      </c>
      <c r="C17" s="264" t="s">
        <v>9</v>
      </c>
      <c r="D17" s="265">
        <f>D4</f>
        <v>2025</v>
      </c>
      <c r="E17" s="265">
        <f t="shared" ref="E17:AG17" si="9">E4</f>
        <v>2026</v>
      </c>
      <c r="F17" s="265">
        <f t="shared" si="9"/>
        <v>2027</v>
      </c>
      <c r="G17" s="265">
        <f t="shared" si="9"/>
        <v>2028</v>
      </c>
      <c r="H17" s="265">
        <f t="shared" si="9"/>
        <v>2029</v>
      </c>
      <c r="I17" s="265">
        <f t="shared" si="9"/>
        <v>2030</v>
      </c>
      <c r="J17" s="265">
        <f t="shared" si="9"/>
        <v>2031</v>
      </c>
      <c r="K17" s="265">
        <f t="shared" si="9"/>
        <v>2032</v>
      </c>
      <c r="L17" s="265">
        <f t="shared" si="9"/>
        <v>2033</v>
      </c>
      <c r="M17" s="265">
        <f t="shared" si="9"/>
        <v>2034</v>
      </c>
      <c r="N17" s="265">
        <f t="shared" si="9"/>
        <v>2035</v>
      </c>
      <c r="O17" s="265">
        <f t="shared" si="9"/>
        <v>2036</v>
      </c>
      <c r="P17" s="265">
        <f t="shared" si="9"/>
        <v>2037</v>
      </c>
      <c r="Q17" s="265">
        <f t="shared" si="9"/>
        <v>2038</v>
      </c>
      <c r="R17" s="265">
        <f t="shared" si="9"/>
        <v>2039</v>
      </c>
      <c r="S17" s="265">
        <f t="shared" si="9"/>
        <v>2040</v>
      </c>
      <c r="T17" s="265">
        <f t="shared" si="9"/>
        <v>2041</v>
      </c>
      <c r="U17" s="265">
        <f t="shared" si="9"/>
        <v>2042</v>
      </c>
      <c r="V17" s="265">
        <f t="shared" si="9"/>
        <v>2043</v>
      </c>
      <c r="W17" s="265">
        <f t="shared" si="9"/>
        <v>2044</v>
      </c>
      <c r="X17" s="265">
        <f t="shared" si="9"/>
        <v>2045</v>
      </c>
      <c r="Y17" s="265">
        <f t="shared" si="9"/>
        <v>2046</v>
      </c>
      <c r="Z17" s="265">
        <f t="shared" si="9"/>
        <v>2047</v>
      </c>
      <c r="AA17" s="265">
        <f t="shared" si="9"/>
        <v>2048</v>
      </c>
      <c r="AB17" s="265">
        <f t="shared" si="9"/>
        <v>2049</v>
      </c>
      <c r="AC17" s="265">
        <f t="shared" si="9"/>
        <v>2050</v>
      </c>
      <c r="AD17" s="265">
        <f t="shared" si="9"/>
        <v>2051</v>
      </c>
      <c r="AE17" s="265">
        <f t="shared" si="9"/>
        <v>2052</v>
      </c>
      <c r="AF17" s="265">
        <f t="shared" si="9"/>
        <v>2053</v>
      </c>
      <c r="AG17" s="265">
        <f t="shared" si="9"/>
        <v>2054</v>
      </c>
      <c r="AH17" s="265">
        <f t="shared" ref="AH17:AL17" si="10">AH4</f>
        <v>2055</v>
      </c>
      <c r="AI17" s="265">
        <f t="shared" si="10"/>
        <v>2056</v>
      </c>
      <c r="AJ17" s="265">
        <f t="shared" si="10"/>
        <v>2057</v>
      </c>
      <c r="AK17" s="265">
        <f t="shared" si="10"/>
        <v>2058</v>
      </c>
      <c r="AL17" s="265">
        <f t="shared" si="10"/>
        <v>2059</v>
      </c>
    </row>
    <row r="18" spans="2:38" x14ac:dyDescent="0.2">
      <c r="B18" s="31" t="s">
        <v>391</v>
      </c>
      <c r="C18" s="266">
        <f t="shared" ref="C18:C25" si="11">SUM(D18:AL18)</f>
        <v>0</v>
      </c>
      <c r="D18" s="267">
        <v>0</v>
      </c>
      <c r="E18" s="267">
        <v>0</v>
      </c>
      <c r="F18" s="267">
        <v>0</v>
      </c>
      <c r="G18" s="267">
        <v>0</v>
      </c>
      <c r="H18" s="267">
        <v>0</v>
      </c>
      <c r="I18" s="267">
        <v>0</v>
      </c>
      <c r="J18" s="267">
        <v>0</v>
      </c>
      <c r="K18" s="267">
        <v>0</v>
      </c>
      <c r="L18" s="267">
        <v>0</v>
      </c>
      <c r="M18" s="267">
        <v>0</v>
      </c>
      <c r="N18" s="267">
        <v>0</v>
      </c>
      <c r="O18" s="267">
        <v>0</v>
      </c>
      <c r="P18" s="267">
        <v>0</v>
      </c>
      <c r="Q18" s="267">
        <v>0</v>
      </c>
      <c r="R18" s="267">
        <v>0</v>
      </c>
      <c r="S18" s="267">
        <v>0</v>
      </c>
      <c r="T18" s="267">
        <v>0</v>
      </c>
      <c r="U18" s="267">
        <v>0</v>
      </c>
      <c r="V18" s="267">
        <v>0</v>
      </c>
      <c r="W18" s="267">
        <v>0</v>
      </c>
      <c r="X18" s="267">
        <v>0</v>
      </c>
      <c r="Y18" s="267">
        <v>0</v>
      </c>
      <c r="Z18" s="267">
        <v>0</v>
      </c>
      <c r="AA18" s="267">
        <v>0</v>
      </c>
      <c r="AB18" s="267">
        <v>0</v>
      </c>
      <c r="AC18" s="267">
        <v>0</v>
      </c>
      <c r="AD18" s="267">
        <v>0</v>
      </c>
      <c r="AE18" s="267">
        <v>0</v>
      </c>
      <c r="AF18" s="267">
        <v>0</v>
      </c>
      <c r="AG18" s="267">
        <v>0</v>
      </c>
      <c r="AH18" s="267">
        <v>0</v>
      </c>
      <c r="AI18" s="267">
        <v>0</v>
      </c>
      <c r="AJ18" s="267">
        <v>0</v>
      </c>
      <c r="AK18" s="267">
        <v>0</v>
      </c>
      <c r="AL18" s="267">
        <v>0</v>
      </c>
    </row>
    <row r="19" spans="2:38" x14ac:dyDescent="0.2">
      <c r="B19" s="31" t="s">
        <v>392</v>
      </c>
      <c r="C19" s="266">
        <f t="shared" si="11"/>
        <v>331069.26680974901</v>
      </c>
      <c r="D19" s="267">
        <f>D6-(('08 Spotreba PHM_E (cesty)'!D84)*Parametre!$C$222+('08 Spotreba PHM_E (cesty)'!D85)*Parametre!$C$223)/1000</f>
        <v>9603.4496180045935</v>
      </c>
      <c r="E19" s="267">
        <f>E6-(('08 Spotreba PHM_E (cesty)'!E84)*Parametre!$C$222+('08 Spotreba PHM_E (cesty)'!E85)*Parametre!$C$223)/1000</f>
        <v>9603.4496180045935</v>
      </c>
      <c r="F19" s="267">
        <f>F6-(('08 Spotreba PHM_E (cesty)'!F84)*Parametre!$C$222+('08 Spotreba PHM_E (cesty)'!F85)*Parametre!$C$223)/1000</f>
        <v>9603.4496180045935</v>
      </c>
      <c r="G19" s="267">
        <f>G6-(('08 Spotreba PHM_E (cesty)'!G84)*Parametre!$C$222+('08 Spotreba PHM_E (cesty)'!G85)*Parametre!$C$223)/1000</f>
        <v>9493.8811293930394</v>
      </c>
      <c r="H19" s="267">
        <f>H6-(('08 Spotreba PHM_E (cesty)'!H84)*Parametre!$C$222+('08 Spotreba PHM_E (cesty)'!H85)*Parametre!$C$223)/1000</f>
        <v>9493.8811293930394</v>
      </c>
      <c r="I19" s="267">
        <f>I6-(('08 Spotreba PHM_E (cesty)'!I84)*Parametre!$C$222+('08 Spotreba PHM_E (cesty)'!I85)*Parametre!$C$223)/1000</f>
        <v>9493.8811293930394</v>
      </c>
      <c r="J19" s="267">
        <f>J6-(('08 Spotreba PHM_E (cesty)'!J84)*Parametre!$C$222+('08 Spotreba PHM_E (cesty)'!J85)*Parametre!$C$223)/1000</f>
        <v>9493.8811293930394</v>
      </c>
      <c r="K19" s="267">
        <f>K6-(('08 Spotreba PHM_E (cesty)'!K84)*Parametre!$C$222+('08 Spotreba PHM_E (cesty)'!K85)*Parametre!$C$223)/1000</f>
        <v>9493.8811293930394</v>
      </c>
      <c r="L19" s="267">
        <f>L6-(('08 Spotreba PHM_E (cesty)'!L84)*Parametre!$C$222+('08 Spotreba PHM_E (cesty)'!L85)*Parametre!$C$223)/1000</f>
        <v>9493.8811293930394</v>
      </c>
      <c r="M19" s="267">
        <f>M6-(('08 Spotreba PHM_E (cesty)'!M84)*Parametre!$C$222+('08 Spotreba PHM_E (cesty)'!M85)*Parametre!$C$223)/1000</f>
        <v>9493.8811293930394</v>
      </c>
      <c r="N19" s="267">
        <f>N6-(('08 Spotreba PHM_E (cesty)'!N84)*Parametre!$C$222+('08 Spotreba PHM_E (cesty)'!N85)*Parametre!$C$223)/1000</f>
        <v>9493.8811293930394</v>
      </c>
      <c r="O19" s="267">
        <f>O6-(('08 Spotreba PHM_E (cesty)'!O84)*Parametre!$C$222+('08 Spotreba PHM_E (cesty)'!O85)*Parametre!$C$223)/1000</f>
        <v>9493.8811293930394</v>
      </c>
      <c r="P19" s="267">
        <f>P6-(('08 Spotreba PHM_E (cesty)'!P84)*Parametre!$C$222+('08 Spotreba PHM_E (cesty)'!P85)*Parametre!$C$223)/1000</f>
        <v>9493.8811293930394</v>
      </c>
      <c r="Q19" s="267">
        <f>Q6-(('08 Spotreba PHM_E (cesty)'!Q84)*Parametre!$C$222+('08 Spotreba PHM_E (cesty)'!Q85)*Parametre!$C$223)/1000</f>
        <v>9493.8811293930394</v>
      </c>
      <c r="R19" s="267">
        <f>R6-(('08 Spotreba PHM_E (cesty)'!R84)*Parametre!$C$222+('08 Spotreba PHM_E (cesty)'!R85)*Parametre!$C$223)/1000</f>
        <v>9493.8811293930394</v>
      </c>
      <c r="S19" s="267">
        <f>S6-(('08 Spotreba PHM_E (cesty)'!S84)*Parametre!$C$222+('08 Spotreba PHM_E (cesty)'!S85)*Parametre!$C$223)/1000</f>
        <v>9493.8811293930394</v>
      </c>
      <c r="T19" s="267">
        <f>T6-(('08 Spotreba PHM_E (cesty)'!T84)*Parametre!$C$222+('08 Spotreba PHM_E (cesty)'!T85)*Parametre!$C$223)/1000</f>
        <v>9494.100266370262</v>
      </c>
      <c r="U19" s="267">
        <f>U6-(('08 Spotreba PHM_E (cesty)'!U84)*Parametre!$C$222+('08 Spotreba PHM_E (cesty)'!U85)*Parametre!$C$223)/1000</f>
        <v>9494.3189650735312</v>
      </c>
      <c r="V19" s="267">
        <f>V6-(('08 Spotreba PHM_E (cesty)'!V84)*Parametre!$C$222+('08 Spotreba PHM_E (cesty)'!V85)*Parametre!$C$223)/1000</f>
        <v>9494.5372263793925</v>
      </c>
      <c r="W19" s="267">
        <f>W6-(('08 Spotreba PHM_E (cesty)'!W84)*Parametre!$C$222+('08 Spotreba PHM_E (cesty)'!W85)*Parametre!$C$223)/1000</f>
        <v>9494.7550511626432</v>
      </c>
      <c r="X19" s="267">
        <f>X6-(('08 Spotreba PHM_E (cesty)'!X84)*Parametre!$C$222+('08 Spotreba PHM_E (cesty)'!X85)*Parametre!$C$223)/1000</f>
        <v>9494.9724402963275</v>
      </c>
      <c r="Y19" s="267">
        <f>Y6-(('08 Spotreba PHM_E (cesty)'!Y84)*Parametre!$C$222+('08 Spotreba PHM_E (cesty)'!Y85)*Parametre!$C$223)/1000</f>
        <v>9495.1893946517448</v>
      </c>
      <c r="Z19" s="267">
        <f>Z6-(('08 Spotreba PHM_E (cesty)'!Z84)*Parametre!$C$222+('08 Spotreba PHM_E (cesty)'!Z85)*Parametre!$C$223)/1000</f>
        <v>9495.4059150984504</v>
      </c>
      <c r="AA19" s="267">
        <f>AA6-(('08 Spotreba PHM_E (cesty)'!AA84)*Parametre!$C$222+('08 Spotreba PHM_E (cesty)'!AA85)*Parametre!$C$223)/1000</f>
        <v>9495.6220025042621</v>
      </c>
      <c r="AB19" s="267">
        <f>AB6-(('08 Spotreba PHM_E (cesty)'!AB84)*Parametre!$C$222+('08 Spotreba PHM_E (cesty)'!AB85)*Parametre!$C$223)/1000</f>
        <v>9495.8376577352628</v>
      </c>
      <c r="AC19" s="267">
        <f>AC6-(('08 Spotreba PHM_E (cesty)'!AC84)*Parametre!$C$222+('08 Spotreba PHM_E (cesty)'!AC85)*Parametre!$C$223)/1000</f>
        <v>9496.0528816558017</v>
      </c>
      <c r="AD19" s="267">
        <f>AD6-(('08 Spotreba PHM_E (cesty)'!AD84)*Parametre!$C$222+('08 Spotreba PHM_E (cesty)'!AD85)*Parametre!$C$223)/1000</f>
        <v>9496.2676751284998</v>
      </c>
      <c r="AE19" s="267">
        <f>AE6-(('08 Spotreba PHM_E (cesty)'!AE84)*Parametre!$C$222+('08 Spotreba PHM_E (cesty)'!AE85)*Parametre!$C$223)/1000</f>
        <v>9496.4820390142504</v>
      </c>
      <c r="AF19" s="267">
        <f>AF6-(('08 Spotreba PHM_E (cesty)'!AF84)*Parametre!$C$222+('08 Spotreba PHM_E (cesty)'!AF85)*Parametre!$C$223)/1000</f>
        <v>9496.6959741722312</v>
      </c>
      <c r="AG19" s="267">
        <f>AG6-(('08 Spotreba PHM_E (cesty)'!AG84)*Parametre!$C$222+('08 Spotreba PHM_E (cesty)'!AG85)*Parametre!$C$223)/1000</f>
        <v>9496.9094814598975</v>
      </c>
      <c r="AH19" s="267">
        <f>AH6-(('08 Spotreba PHM_E (cesty)'!AH84)*Parametre!$C$222+('08 Spotreba PHM_E (cesty)'!AH85)*Parametre!$C$223)/1000</f>
        <v>9390.7955054613794</v>
      </c>
      <c r="AI19" s="267">
        <f>AI6-(('08 Spotreba PHM_E (cesty)'!AI84)*Parametre!$C$222+('08 Spotreba PHM_E (cesty)'!AI85)*Parametre!$C$223)/1000</f>
        <v>9285.1064115274003</v>
      </c>
      <c r="AJ19" s="267">
        <f>AJ6-(('08 Spotreba PHM_E (cesty)'!AJ84)*Parametre!$C$222+('08 Spotreba PHM_E (cesty)'!AJ85)*Parametre!$C$223)/1000</f>
        <v>9179.8409245856092</v>
      </c>
      <c r="AK19" s="267">
        <f>AK6-(('08 Spotreba PHM_E (cesty)'!AK84)*Parametre!$C$222+('08 Spotreba PHM_E (cesty)'!AK85)*Parametre!$C$223)/1000</f>
        <v>9074.9977729644106</v>
      </c>
      <c r="AL19" s="267">
        <f>AL6-(('08 Spotreba PHM_E (cesty)'!AL84)*Parametre!$C$222+('08 Spotreba PHM_E (cesty)'!AL85)*Parametre!$C$223)/1000</f>
        <v>8970.5756883844697</v>
      </c>
    </row>
    <row r="20" spans="2:38" x14ac:dyDescent="0.2">
      <c r="B20" s="31" t="s">
        <v>393</v>
      </c>
      <c r="C20" s="266">
        <f t="shared" si="11"/>
        <v>0</v>
      </c>
      <c r="D20" s="267">
        <v>0</v>
      </c>
      <c r="E20" s="267">
        <v>0</v>
      </c>
      <c r="F20" s="267">
        <v>0</v>
      </c>
      <c r="G20" s="267">
        <v>0</v>
      </c>
      <c r="H20" s="267">
        <v>0</v>
      </c>
      <c r="I20" s="267">
        <v>0</v>
      </c>
      <c r="J20" s="267">
        <v>0</v>
      </c>
      <c r="K20" s="267">
        <v>0</v>
      </c>
      <c r="L20" s="267">
        <v>0</v>
      </c>
      <c r="M20" s="267">
        <v>0</v>
      </c>
      <c r="N20" s="267">
        <v>0</v>
      </c>
      <c r="O20" s="267">
        <v>0</v>
      </c>
      <c r="P20" s="267">
        <v>0</v>
      </c>
      <c r="Q20" s="267">
        <v>0</v>
      </c>
      <c r="R20" s="267">
        <v>0</v>
      </c>
      <c r="S20" s="267">
        <v>0</v>
      </c>
      <c r="T20" s="267">
        <v>0</v>
      </c>
      <c r="U20" s="267">
        <v>0</v>
      </c>
      <c r="V20" s="267">
        <v>0</v>
      </c>
      <c r="W20" s="267">
        <v>0</v>
      </c>
      <c r="X20" s="267">
        <v>0</v>
      </c>
      <c r="Y20" s="267">
        <v>0</v>
      </c>
      <c r="Z20" s="267">
        <v>0</v>
      </c>
      <c r="AA20" s="267">
        <v>0</v>
      </c>
      <c r="AB20" s="267">
        <v>0</v>
      </c>
      <c r="AC20" s="267">
        <v>0</v>
      </c>
      <c r="AD20" s="267">
        <v>0</v>
      </c>
      <c r="AE20" s="267">
        <v>0</v>
      </c>
      <c r="AF20" s="267">
        <v>0</v>
      </c>
      <c r="AG20" s="267">
        <v>0</v>
      </c>
      <c r="AH20" s="267">
        <v>0</v>
      </c>
      <c r="AI20" s="267">
        <v>0</v>
      </c>
      <c r="AJ20" s="267">
        <v>0</v>
      </c>
      <c r="AK20" s="267">
        <v>0</v>
      </c>
      <c r="AL20" s="267">
        <v>0</v>
      </c>
    </row>
    <row r="21" spans="2:38" x14ac:dyDescent="0.2">
      <c r="B21" s="31" t="s">
        <v>394</v>
      </c>
      <c r="C21" s="266">
        <f t="shared" si="11"/>
        <v>6853250.9261067417</v>
      </c>
      <c r="D21" s="267">
        <f>D8-(('08 Spotreba PHM_E (cesty)'!D84)*Parametre!$D$222+('08 Spotreba PHM_E (cesty)'!D85)*Parametre!$D$223)/1000</f>
        <v>198790.66500420397</v>
      </c>
      <c r="E21" s="267">
        <f>E8-(('08 Spotreba PHM_E (cesty)'!E84)*Parametre!$D$222+('08 Spotreba PHM_E (cesty)'!E85)*Parametre!$D$223)/1000</f>
        <v>198790.66500420397</v>
      </c>
      <c r="F21" s="267">
        <f>F8-(('08 Spotreba PHM_E (cesty)'!F84)*Parametre!$D$222+('08 Spotreba PHM_E (cesty)'!F85)*Parametre!$D$223)/1000</f>
        <v>198790.66500420397</v>
      </c>
      <c r="G21" s="267">
        <f>G8-(('08 Spotreba PHM_E (cesty)'!G84)*Parametre!$D$222+('08 Spotreba PHM_E (cesty)'!G85)*Parametre!$D$223)/1000</f>
        <v>196525.70067334868</v>
      </c>
      <c r="H21" s="267">
        <f>H8-(('08 Spotreba PHM_E (cesty)'!H84)*Parametre!$D$222+('08 Spotreba PHM_E (cesty)'!H85)*Parametre!$D$223)/1000</f>
        <v>196525.70067334868</v>
      </c>
      <c r="I21" s="267">
        <f>I8-(('08 Spotreba PHM_E (cesty)'!I84)*Parametre!$D$222+('08 Spotreba PHM_E (cesty)'!I85)*Parametre!$D$223)/1000</f>
        <v>196525.70067334868</v>
      </c>
      <c r="J21" s="267">
        <f>J8-(('08 Spotreba PHM_E (cesty)'!J84)*Parametre!$D$222+('08 Spotreba PHM_E (cesty)'!J85)*Parametre!$D$223)/1000</f>
        <v>196525.70067334868</v>
      </c>
      <c r="K21" s="267">
        <f>K8-(('08 Spotreba PHM_E (cesty)'!K84)*Parametre!$D$222+('08 Spotreba PHM_E (cesty)'!K85)*Parametre!$D$223)/1000</f>
        <v>196525.70067334868</v>
      </c>
      <c r="L21" s="267">
        <f>L8-(('08 Spotreba PHM_E (cesty)'!L84)*Parametre!$D$222+('08 Spotreba PHM_E (cesty)'!L85)*Parametre!$D$223)/1000</f>
        <v>196525.70067334868</v>
      </c>
      <c r="M21" s="267">
        <f>M8-(('08 Spotreba PHM_E (cesty)'!M84)*Parametre!$D$222+('08 Spotreba PHM_E (cesty)'!M85)*Parametre!$D$223)/1000</f>
        <v>196525.70067334868</v>
      </c>
      <c r="N21" s="267">
        <f>N8-(('08 Spotreba PHM_E (cesty)'!N84)*Parametre!$D$222+('08 Spotreba PHM_E (cesty)'!N85)*Parametre!$D$223)/1000</f>
        <v>196525.70067334868</v>
      </c>
      <c r="O21" s="267">
        <f>O8-(('08 Spotreba PHM_E (cesty)'!O84)*Parametre!$D$222+('08 Spotreba PHM_E (cesty)'!O85)*Parametre!$D$223)/1000</f>
        <v>196525.70067334868</v>
      </c>
      <c r="P21" s="267">
        <f>P8-(('08 Spotreba PHM_E (cesty)'!P84)*Parametre!$D$222+('08 Spotreba PHM_E (cesty)'!P85)*Parametre!$D$223)/1000</f>
        <v>196525.70067334868</v>
      </c>
      <c r="Q21" s="267">
        <f>Q8-(('08 Spotreba PHM_E (cesty)'!Q84)*Parametre!$D$222+('08 Spotreba PHM_E (cesty)'!Q85)*Parametre!$D$223)/1000</f>
        <v>196525.70067334868</v>
      </c>
      <c r="R21" s="267">
        <f>R8-(('08 Spotreba PHM_E (cesty)'!R84)*Parametre!$D$222+('08 Spotreba PHM_E (cesty)'!R85)*Parametre!$D$223)/1000</f>
        <v>196525.70067334868</v>
      </c>
      <c r="S21" s="267">
        <f>S8-(('08 Spotreba PHM_E (cesty)'!S84)*Parametre!$D$222+('08 Spotreba PHM_E (cesty)'!S85)*Parametre!$D$223)/1000</f>
        <v>196525.70067334868</v>
      </c>
      <c r="T21" s="267">
        <f>T8-(('08 Spotreba PHM_E (cesty)'!T84)*Parametre!$D$222+('08 Spotreba PHM_E (cesty)'!T85)*Parametre!$D$223)/1000</f>
        <v>196530.23060201039</v>
      </c>
      <c r="U21" s="267">
        <f>U8-(('08 Spotreba PHM_E (cesty)'!U84)*Parametre!$D$222+('08 Spotreba PHM_E (cesty)'!U85)*Parametre!$D$223)/1000</f>
        <v>196534.75147081478</v>
      </c>
      <c r="V21" s="267">
        <f>V8-(('08 Spotreba PHM_E (cesty)'!V84)*Parametre!$D$222+('08 Spotreba PHM_E (cesty)'!V85)*Parametre!$D$223)/1000</f>
        <v>196539.26329788155</v>
      </c>
      <c r="W21" s="267">
        <f>W8-(('08 Spotreba PHM_E (cesty)'!W84)*Parametre!$D$222+('08 Spotreba PHM_E (cesty)'!W85)*Parametre!$D$223)/1000</f>
        <v>196543.7661012942</v>
      </c>
      <c r="X21" s="267">
        <f>X8-(('08 Spotreba PHM_E (cesty)'!X84)*Parametre!$D$222+('08 Spotreba PHM_E (cesty)'!X85)*Parametre!$D$223)/1000</f>
        <v>196548.2598991</v>
      </c>
      <c r="Y21" s="267">
        <f>Y8-(('08 Spotreba PHM_E (cesty)'!Y84)*Parametre!$D$222+('08 Spotreba PHM_E (cesty)'!Y85)*Parametre!$D$223)/1000</f>
        <v>196552.74470931021</v>
      </c>
      <c r="Z21" s="267">
        <f>Z8-(('08 Spotreba PHM_E (cesty)'!Z84)*Parametre!$D$222+('08 Spotreba PHM_E (cesty)'!Z85)*Parametre!$D$223)/1000</f>
        <v>196557.2205499</v>
      </c>
      <c r="AA21" s="267">
        <f>AA8-(('08 Spotreba PHM_E (cesty)'!AA84)*Parametre!$D$222+('08 Spotreba PHM_E (cesty)'!AA85)*Parametre!$D$223)/1000</f>
        <v>196561.68743880861</v>
      </c>
      <c r="AB21" s="267">
        <f>AB8-(('08 Spotreba PHM_E (cesty)'!AB84)*Parametre!$D$222+('08 Spotreba PHM_E (cesty)'!AB85)*Parametre!$D$223)/1000</f>
        <v>196566.1453939394</v>
      </c>
      <c r="AC21" s="267">
        <f>AC8-(('08 Spotreba PHM_E (cesty)'!AC84)*Parametre!$D$222+('08 Spotreba PHM_E (cesty)'!AC85)*Parametre!$D$223)/1000</f>
        <v>196570.59443315995</v>
      </c>
      <c r="AD21" s="267">
        <f>AD8-(('08 Spotreba PHM_E (cesty)'!AD84)*Parametre!$D$222+('08 Spotreba PHM_E (cesty)'!AD85)*Parametre!$D$223)/1000</f>
        <v>196575.03457430203</v>
      </c>
      <c r="AE21" s="267">
        <f>AE8-(('08 Spotreba PHM_E (cesty)'!AE84)*Parametre!$D$222+('08 Spotreba PHM_E (cesty)'!AE85)*Parametre!$D$223)/1000</f>
        <v>196579.46583516183</v>
      </c>
      <c r="AF21" s="267">
        <f>AF8-(('08 Spotreba PHM_E (cesty)'!AF84)*Parametre!$D$222+('08 Spotreba PHM_E (cesty)'!AF85)*Parametre!$D$223)/1000</f>
        <v>196583.88823349992</v>
      </c>
      <c r="AG21" s="267">
        <f>AG8-(('08 Spotreba PHM_E (cesty)'!AG84)*Parametre!$D$222+('08 Spotreba PHM_E (cesty)'!AG85)*Parametre!$D$223)/1000</f>
        <v>196588.30178704133</v>
      </c>
      <c r="AH21" s="267">
        <f>AH8-(('08 Spotreba PHM_E (cesty)'!AH84)*Parametre!$D$222+('08 Spotreba PHM_E (cesty)'!AH85)*Parametre!$D$223)/1000</f>
        <v>194394.74802274731</v>
      </c>
      <c r="AI21" s="267">
        <f>AI8-(('08 Spotreba PHM_E (cesty)'!AI84)*Parametre!$D$222+('08 Spotreba PHM_E (cesty)'!AI85)*Parametre!$D$223)/1000</f>
        <v>192209.97728296337</v>
      </c>
      <c r="AJ21" s="267">
        <f>AJ8-(('08 Spotreba PHM_E (cesty)'!AJ84)*Parametre!$D$222+('08 Spotreba PHM_E (cesty)'!AJ85)*Parametre!$D$223)/1000</f>
        <v>190033.96320980648</v>
      </c>
      <c r="AK21" s="267">
        <f>AK8-(('08 Spotreba PHM_E (cesty)'!AK84)*Parametre!$D$222+('08 Spotreba PHM_E (cesty)'!AK85)*Parametre!$D$223)/1000</f>
        <v>187866.6795156931</v>
      </c>
      <c r="AL21" s="267">
        <f>AL8-(('08 Spotreba PHM_E (cesty)'!AL84)*Parametre!$D$222+('08 Spotreba PHM_E (cesty)'!AL85)*Parametre!$D$223)/1000</f>
        <v>185708.09998316335</v>
      </c>
    </row>
    <row r="22" spans="2:38" x14ac:dyDescent="0.2">
      <c r="B22" s="31" t="s">
        <v>135</v>
      </c>
      <c r="C22" s="266">
        <f t="shared" si="11"/>
        <v>12876.98442041409</v>
      </c>
      <c r="D22" s="267">
        <f>D9-(('08 Spotreba PHM_E (cesty)'!D84)*Parametre!$E$222+('08 Spotreba PHM_E (cesty)'!D85)*Parametre!$E$223)/1000</f>
        <v>373.51787386932955</v>
      </c>
      <c r="E22" s="267">
        <f>E9-(('08 Spotreba PHM_E (cesty)'!E84)*Parametre!$E$222+('08 Spotreba PHM_E (cesty)'!E85)*Parametre!$E$223)/1000</f>
        <v>373.51787386932955</v>
      </c>
      <c r="F22" s="267">
        <f>F9-(('08 Spotreba PHM_E (cesty)'!F84)*Parametre!$E$222+('08 Spotreba PHM_E (cesty)'!F85)*Parametre!$E$223)/1000</f>
        <v>373.51787386932955</v>
      </c>
      <c r="G22" s="267">
        <f>G9-(('08 Spotreba PHM_E (cesty)'!G84)*Parametre!$E$222+('08 Spotreba PHM_E (cesty)'!G85)*Parametre!$E$223)/1000</f>
        <v>369.26349014163037</v>
      </c>
      <c r="H22" s="267">
        <f>H9-(('08 Spotreba PHM_E (cesty)'!H84)*Parametre!$E$222+('08 Spotreba PHM_E (cesty)'!H85)*Parametre!$E$223)/1000</f>
        <v>369.26349014163037</v>
      </c>
      <c r="I22" s="267">
        <f>I9-(('08 Spotreba PHM_E (cesty)'!I84)*Parametre!$E$222+('08 Spotreba PHM_E (cesty)'!I85)*Parametre!$E$223)/1000</f>
        <v>369.26349014163037</v>
      </c>
      <c r="J22" s="267">
        <f>J9-(('08 Spotreba PHM_E (cesty)'!J84)*Parametre!$E$222+('08 Spotreba PHM_E (cesty)'!J85)*Parametre!$E$223)/1000</f>
        <v>369.26349014163037</v>
      </c>
      <c r="K22" s="267">
        <f>K9-(('08 Spotreba PHM_E (cesty)'!K84)*Parametre!$E$222+('08 Spotreba PHM_E (cesty)'!K85)*Parametre!$E$223)/1000</f>
        <v>369.26349014163037</v>
      </c>
      <c r="L22" s="267">
        <f>L9-(('08 Spotreba PHM_E (cesty)'!L84)*Parametre!$E$222+('08 Spotreba PHM_E (cesty)'!L85)*Parametre!$E$223)/1000</f>
        <v>369.26349014163037</v>
      </c>
      <c r="M22" s="267">
        <f>M9-(('08 Spotreba PHM_E (cesty)'!M84)*Parametre!$E$222+('08 Spotreba PHM_E (cesty)'!M85)*Parametre!$E$223)/1000</f>
        <v>369.26349014163037</v>
      </c>
      <c r="N22" s="267">
        <f>N9-(('08 Spotreba PHM_E (cesty)'!N84)*Parametre!$E$222+('08 Spotreba PHM_E (cesty)'!N85)*Parametre!$E$223)/1000</f>
        <v>369.26349014163037</v>
      </c>
      <c r="O22" s="267">
        <f>O9-(('08 Spotreba PHM_E (cesty)'!O84)*Parametre!$E$222+('08 Spotreba PHM_E (cesty)'!O85)*Parametre!$E$223)/1000</f>
        <v>369.26349014163037</v>
      </c>
      <c r="P22" s="267">
        <f>P9-(('08 Spotreba PHM_E (cesty)'!P84)*Parametre!$E$222+('08 Spotreba PHM_E (cesty)'!P85)*Parametre!$E$223)/1000</f>
        <v>369.26349014163037</v>
      </c>
      <c r="Q22" s="267">
        <f>Q9-(('08 Spotreba PHM_E (cesty)'!Q84)*Parametre!$E$222+('08 Spotreba PHM_E (cesty)'!Q85)*Parametre!$E$223)/1000</f>
        <v>369.26349014163037</v>
      </c>
      <c r="R22" s="267">
        <f>R9-(('08 Spotreba PHM_E (cesty)'!R84)*Parametre!$E$222+('08 Spotreba PHM_E (cesty)'!R85)*Parametre!$E$223)/1000</f>
        <v>369.26349014163037</v>
      </c>
      <c r="S22" s="267">
        <f>S9-(('08 Spotreba PHM_E (cesty)'!S84)*Parametre!$E$222+('08 Spotreba PHM_E (cesty)'!S85)*Parametre!$E$223)/1000</f>
        <v>369.26349014163037</v>
      </c>
      <c r="T22" s="267">
        <f>T9-(('08 Spotreba PHM_E (cesty)'!T84)*Parametre!$E$222+('08 Spotreba PHM_E (cesty)'!T85)*Parametre!$E$223)/1000</f>
        <v>369.27199890908577</v>
      </c>
      <c r="U22" s="267">
        <f>U9-(('08 Spotreba PHM_E (cesty)'!U84)*Parametre!$E$222+('08 Spotreba PHM_E (cesty)'!U85)*Parametre!$E$223)/1000</f>
        <v>369.28049065900626</v>
      </c>
      <c r="V22" s="267">
        <f>V9-(('08 Spotreba PHM_E (cesty)'!V84)*Parametre!$E$222+('08 Spotreba PHM_E (cesty)'!V85)*Parametre!$E$223)/1000</f>
        <v>369.28896542542691</v>
      </c>
      <c r="W22" s="267">
        <f>W9-(('08 Spotreba PHM_E (cesty)'!W84)*Parametre!$E$222+('08 Spotreba PHM_E (cesty)'!W85)*Parametre!$E$223)/1000</f>
        <v>369.29742324231472</v>
      </c>
      <c r="X22" s="267">
        <f>X9-(('08 Spotreba PHM_E (cesty)'!X84)*Parametre!$E$222+('08 Spotreba PHM_E (cesty)'!X85)*Parametre!$E$223)/1000</f>
        <v>369.30586414356873</v>
      </c>
      <c r="Y22" s="267">
        <f>Y9-(('08 Spotreba PHM_E (cesty)'!Y84)*Parametre!$E$222+('08 Spotreba PHM_E (cesty)'!Y85)*Parametre!$E$223)/1000</f>
        <v>369.31428816302025</v>
      </c>
      <c r="Z22" s="267">
        <f>Z9-(('08 Spotreba PHM_E (cesty)'!Z84)*Parametre!$E$222+('08 Spotreba PHM_E (cesty)'!Z85)*Parametre!$E$223)/1000</f>
        <v>369.32269533443286</v>
      </c>
      <c r="AA22" s="267">
        <f>AA9-(('08 Spotreba PHM_E (cesty)'!AA84)*Parametre!$E$222+('08 Spotreba PHM_E (cesty)'!AA85)*Parametre!$E$223)/1000</f>
        <v>369.33108569150266</v>
      </c>
      <c r="AB22" s="267">
        <f>AB9-(('08 Spotreba PHM_E (cesty)'!AB84)*Parametre!$E$222+('08 Spotreba PHM_E (cesty)'!AB85)*Parametre!$E$223)/1000</f>
        <v>369.33945926785833</v>
      </c>
      <c r="AC22" s="267">
        <f>AC9-(('08 Spotreba PHM_E (cesty)'!AC84)*Parametre!$E$222+('08 Spotreba PHM_E (cesty)'!AC85)*Parametre!$E$223)/1000</f>
        <v>369.34781609706124</v>
      </c>
      <c r="AD22" s="267">
        <f>AD9-(('08 Spotreba PHM_E (cesty)'!AD84)*Parametre!$E$222+('08 Spotreba PHM_E (cesty)'!AD85)*Parametre!$E$223)/1000</f>
        <v>369.35615621260581</v>
      </c>
      <c r="AE22" s="267">
        <f>AE9-(('08 Spotreba PHM_E (cesty)'!AE84)*Parametre!$E$222+('08 Spotreba PHM_E (cesty)'!AE85)*Parametre!$E$223)/1000</f>
        <v>369.36447964791921</v>
      </c>
      <c r="AF22" s="267">
        <f>AF9-(('08 Spotreba PHM_E (cesty)'!AF84)*Parametre!$E$222+('08 Spotreba PHM_E (cesty)'!AF85)*Parametre!$E$223)/1000</f>
        <v>369.37278643636205</v>
      </c>
      <c r="AG22" s="267">
        <f>AG9-(('08 Spotreba PHM_E (cesty)'!AG84)*Parametre!$E$222+('08 Spotreba PHM_E (cesty)'!AG85)*Parametre!$E$223)/1000</f>
        <v>369.38107661122797</v>
      </c>
      <c r="AH22" s="267">
        <f>AH9-(('08 Spotreba PHM_E (cesty)'!AH84)*Parametre!$E$222+('08 Spotreba PHM_E (cesty)'!AH85)*Parametre!$E$223)/1000</f>
        <v>365.26082654215884</v>
      </c>
      <c r="AI22" s="267">
        <f>AI9-(('08 Spotreba PHM_E (cesty)'!AI84)*Parametre!$E$222+('08 Spotreba PHM_E (cesty)'!AI85)*Parametre!$E$223)/1000</f>
        <v>361.157074020555</v>
      </c>
      <c r="AJ22" s="267">
        <f>AJ9-(('08 Spotreba PHM_E (cesty)'!AJ84)*Parametre!$E$222+('08 Spotreba PHM_E (cesty)'!AJ85)*Parametre!$E$223)/1000</f>
        <v>357.06976953722688</v>
      </c>
      <c r="AK22" s="267">
        <f>AK9-(('08 Spotreba PHM_E (cesty)'!AK84)*Parametre!$E$222+('08 Spotreba PHM_E (cesty)'!AK85)*Parametre!$E$223)/1000</f>
        <v>352.99886371503146</v>
      </c>
      <c r="AL22" s="267">
        <f>AL9-(('08 Spotreba PHM_E (cesty)'!AL84)*Parametre!$E$222+('08 Spotreba PHM_E (cesty)'!AL85)*Parametre!$E$223)/1000</f>
        <v>348.94430730854219</v>
      </c>
    </row>
    <row r="23" spans="2:38" ht="11.65" customHeight="1" x14ac:dyDescent="0.2">
      <c r="B23" s="31" t="s">
        <v>132</v>
      </c>
      <c r="C23" s="266">
        <f t="shared" si="11"/>
        <v>3746480.9907208411</v>
      </c>
      <c r="D23" s="267">
        <f>D10-(('08 Spotreba PHM_E (cesty)'!D84)*Parametre!$F$222+('08 Spotreba PHM_E (cesty)'!D85)*Parametre!$F$223)/1000</f>
        <v>108670.61409847307</v>
      </c>
      <c r="E23" s="267">
        <f>E10-(('08 Spotreba PHM_E (cesty)'!E84)*Parametre!$F$222+('08 Spotreba PHM_E (cesty)'!E85)*Parametre!$F$223)/1000</f>
        <v>108670.61409847307</v>
      </c>
      <c r="F23" s="267">
        <f>F10-(('08 Spotreba PHM_E (cesty)'!F84)*Parametre!$F$222+('08 Spotreba PHM_E (cesty)'!F85)*Parametre!$F$223)/1000</f>
        <v>108670.61409847307</v>
      </c>
      <c r="G23" s="267">
        <f>G10-(('08 Spotreba PHM_E (cesty)'!G84)*Parametre!$F$222+('08 Spotreba PHM_E (cesty)'!G85)*Parametre!$F$223)/1000</f>
        <v>107434.46630963792</v>
      </c>
      <c r="H23" s="267">
        <f>H10-(('08 Spotreba PHM_E (cesty)'!H84)*Parametre!$F$222+('08 Spotreba PHM_E (cesty)'!H85)*Parametre!$F$223)/1000</f>
        <v>107434.46630963792</v>
      </c>
      <c r="I23" s="267">
        <f>I10-(('08 Spotreba PHM_E (cesty)'!I84)*Parametre!$F$222+('08 Spotreba PHM_E (cesty)'!I85)*Parametre!$F$223)/1000</f>
        <v>107434.46630963792</v>
      </c>
      <c r="J23" s="267">
        <f>J10-(('08 Spotreba PHM_E (cesty)'!J84)*Parametre!$F$222+('08 Spotreba PHM_E (cesty)'!J85)*Parametre!$F$223)/1000</f>
        <v>107434.46630963792</v>
      </c>
      <c r="K23" s="267">
        <f>K10-(('08 Spotreba PHM_E (cesty)'!K84)*Parametre!$F$222+('08 Spotreba PHM_E (cesty)'!K85)*Parametre!$F$223)/1000</f>
        <v>107434.46630963792</v>
      </c>
      <c r="L23" s="267">
        <f>L10-(('08 Spotreba PHM_E (cesty)'!L84)*Parametre!$F$222+('08 Spotreba PHM_E (cesty)'!L85)*Parametre!$F$223)/1000</f>
        <v>107434.46630963792</v>
      </c>
      <c r="M23" s="267">
        <f>M10-(('08 Spotreba PHM_E (cesty)'!M84)*Parametre!$F$222+('08 Spotreba PHM_E (cesty)'!M85)*Parametre!$F$223)/1000</f>
        <v>107434.46630963792</v>
      </c>
      <c r="N23" s="267">
        <f>N10-(('08 Spotreba PHM_E (cesty)'!N84)*Parametre!$F$222+('08 Spotreba PHM_E (cesty)'!N85)*Parametre!$F$223)/1000</f>
        <v>107434.46630963792</v>
      </c>
      <c r="O23" s="267">
        <f>O10-(('08 Spotreba PHM_E (cesty)'!O84)*Parametre!$F$222+('08 Spotreba PHM_E (cesty)'!O85)*Parametre!$F$223)/1000</f>
        <v>107434.46630963792</v>
      </c>
      <c r="P23" s="267">
        <f>P10-(('08 Spotreba PHM_E (cesty)'!P84)*Parametre!$F$222+('08 Spotreba PHM_E (cesty)'!P85)*Parametre!$F$223)/1000</f>
        <v>107434.46630963792</v>
      </c>
      <c r="Q23" s="267">
        <f>Q10-(('08 Spotreba PHM_E (cesty)'!Q84)*Parametre!$F$222+('08 Spotreba PHM_E (cesty)'!Q85)*Parametre!$F$223)/1000</f>
        <v>107434.46630963792</v>
      </c>
      <c r="R23" s="267">
        <f>R10-(('08 Spotreba PHM_E (cesty)'!R84)*Parametre!$F$222+('08 Spotreba PHM_E (cesty)'!R85)*Parametre!$F$223)/1000</f>
        <v>107434.46630963792</v>
      </c>
      <c r="S23" s="267">
        <f>S10-(('08 Spotreba PHM_E (cesty)'!S84)*Parametre!$F$222+('08 Spotreba PHM_E (cesty)'!S85)*Parametre!$F$223)/1000</f>
        <v>107434.46630963792</v>
      </c>
      <c r="T23" s="267">
        <f>T10-(('08 Spotreba PHM_E (cesty)'!T84)*Parametre!$F$222+('08 Spotreba PHM_E (cesty)'!T85)*Parametre!$F$223)/1000</f>
        <v>107436.93860521559</v>
      </c>
      <c r="U23" s="267">
        <f>U10-(('08 Spotreba PHM_E (cesty)'!U84)*Parametre!$F$222+('08 Spotreba PHM_E (cesty)'!U85)*Parametre!$F$223)/1000</f>
        <v>107439.4059562021</v>
      </c>
      <c r="V23" s="267">
        <f>V10-(('08 Spotreba PHM_E (cesty)'!V84)*Parametre!$F$222+('08 Spotreba PHM_E (cesty)'!V85)*Parametre!$F$223)/1000</f>
        <v>107441.86837248664</v>
      </c>
      <c r="W23" s="267">
        <f>W10-(('08 Spotreba PHM_E (cesty)'!W84)*Parametre!$F$222+('08 Spotreba PHM_E (cesty)'!W85)*Parametre!$F$223)/1000</f>
        <v>107444.32586393862</v>
      </c>
      <c r="X23" s="267">
        <f>X10-(('08 Spotreba PHM_E (cesty)'!X84)*Parametre!$F$222+('08 Spotreba PHM_E (cesty)'!X85)*Parametre!$F$223)/1000</f>
        <v>107446.7784404077</v>
      </c>
      <c r="Y23" s="267">
        <f>Y10-(('08 Spotreba PHM_E (cesty)'!Y84)*Parametre!$F$222+('08 Spotreba PHM_E (cesty)'!Y85)*Parametre!$F$223)/1000</f>
        <v>107449.22611172382</v>
      </c>
      <c r="Z23" s="267">
        <f>Z10-(('08 Spotreba PHM_E (cesty)'!Z84)*Parametre!$F$222+('08 Spotreba PHM_E (cesty)'!Z85)*Parametre!$F$223)/1000</f>
        <v>107451.66888769732</v>
      </c>
      <c r="AA23" s="267">
        <f>AA10-(('08 Spotreba PHM_E (cesty)'!AA84)*Parametre!$F$222+('08 Spotreba PHM_E (cesty)'!AA85)*Parametre!$F$223)/1000</f>
        <v>107454.10677811888</v>
      </c>
      <c r="AB23" s="267">
        <f>AB10-(('08 Spotreba PHM_E (cesty)'!AB84)*Parametre!$F$222+('08 Spotreba PHM_E (cesty)'!AB85)*Parametre!$F$223)/1000</f>
        <v>107456.53979275958</v>
      </c>
      <c r="AC23" s="267">
        <f>AC10-(('08 Spotreba PHM_E (cesty)'!AC84)*Parametre!$F$222+('08 Spotreba PHM_E (cesty)'!AC85)*Parametre!$F$223)/1000</f>
        <v>107458.96794137101</v>
      </c>
      <c r="AD23" s="267">
        <f>AD10-(('08 Spotreba PHM_E (cesty)'!AD84)*Parametre!$F$222+('08 Spotreba PHM_E (cesty)'!AD85)*Parametre!$F$223)/1000</f>
        <v>107461.39123368521</v>
      </c>
      <c r="AE23" s="267">
        <f>AE10-(('08 Spotreba PHM_E (cesty)'!AE84)*Parametre!$F$222+('08 Spotreba PHM_E (cesty)'!AE85)*Parametre!$F$223)/1000</f>
        <v>107463.80967941479</v>
      </c>
      <c r="AF23" s="267">
        <f>AF10-(('08 Spotreba PHM_E (cesty)'!AF84)*Parametre!$F$222+('08 Spotreba PHM_E (cesty)'!AF85)*Parametre!$F$223)/1000</f>
        <v>107466.22328825291</v>
      </c>
      <c r="AG23" s="267">
        <f>AG10-(('08 Spotreba PHM_E (cesty)'!AG84)*Parametre!$F$222+('08 Spotreba PHM_E (cesty)'!AG85)*Parametre!$F$223)/1000</f>
        <v>107468.63206987335</v>
      </c>
      <c r="AH23" s="267">
        <f>AH10-(('08 Spotreba PHM_E (cesty)'!AH84)*Parametre!$F$222+('08 Spotreba PHM_E (cesty)'!AH85)*Parametre!$F$223)/1000</f>
        <v>106271.45796938801</v>
      </c>
      <c r="AI23" s="267">
        <f>AI10-(('08 Spotreba PHM_E (cesty)'!AI84)*Parametre!$F$222+('08 Spotreba PHM_E (cesty)'!AI85)*Parametre!$F$223)/1000</f>
        <v>105079.07737323274</v>
      </c>
      <c r="AJ23" s="267">
        <f>AJ10-(('08 Spotreba PHM_E (cesty)'!AJ84)*Parametre!$F$222+('08 Spotreba PHM_E (cesty)'!AJ85)*Parametre!$F$223)/1000</f>
        <v>103891.47589608659</v>
      </c>
      <c r="AK23" s="267">
        <f>AK10-(('08 Spotreba PHM_E (cesty)'!AK84)*Parametre!$F$222+('08 Spotreba PHM_E (cesty)'!AK85)*Parametre!$F$223)/1000</f>
        <v>102708.63919099593</v>
      </c>
      <c r="AL23" s="267">
        <f>AL10-(('08 Spotreba PHM_E (cesty)'!AL84)*Parametre!$F$222+('08 Spotreba PHM_E (cesty)'!AL85)*Parametre!$F$223)/1000</f>
        <v>101530.55294927846</v>
      </c>
    </row>
    <row r="24" spans="2:38" x14ac:dyDescent="0.2">
      <c r="B24" s="31" t="s">
        <v>136</v>
      </c>
      <c r="C24" s="266">
        <f t="shared" si="11"/>
        <v>404191.20323215489</v>
      </c>
      <c r="D24" s="267">
        <f>D11-(('08 Spotreba PHM_E (cesty)'!D84)*Parametre!$G$222+('08 Spotreba PHM_E (cesty)'!D85)*Parametre!$C$223)/1000</f>
        <v>11857.460955538576</v>
      </c>
      <c r="E24" s="267">
        <f>E11-(('08 Spotreba PHM_E (cesty)'!E84)*Parametre!$G$222+('08 Spotreba PHM_E (cesty)'!E85)*Parametre!$C$223)/1000</f>
        <v>11857.460955538576</v>
      </c>
      <c r="F24" s="267">
        <f>F11-(('08 Spotreba PHM_E (cesty)'!F84)*Parametre!$G$222+('08 Spotreba PHM_E (cesty)'!F85)*Parametre!$C$223)/1000</f>
        <v>11857.460955538576</v>
      </c>
      <c r="G24" s="267">
        <f>G11-(('08 Spotreba PHM_E (cesty)'!G84)*Parametre!$G$222+('08 Spotreba PHM_E (cesty)'!G85)*Parametre!$C$223)/1000</f>
        <v>11622.772153600661</v>
      </c>
      <c r="H24" s="267">
        <f>H11-(('08 Spotreba PHM_E (cesty)'!H84)*Parametre!$G$222+('08 Spotreba PHM_E (cesty)'!H85)*Parametre!$C$223)/1000</f>
        <v>11622.772153600661</v>
      </c>
      <c r="I24" s="267">
        <f>I11-(('08 Spotreba PHM_E (cesty)'!I84)*Parametre!$G$222+('08 Spotreba PHM_E (cesty)'!I85)*Parametre!$C$223)/1000</f>
        <v>11622.772153600661</v>
      </c>
      <c r="J24" s="267">
        <f>J11-(('08 Spotreba PHM_E (cesty)'!J84)*Parametre!$G$222+('08 Spotreba PHM_E (cesty)'!J85)*Parametre!$C$223)/1000</f>
        <v>11622.772153600661</v>
      </c>
      <c r="K24" s="267">
        <f>K11-(('08 Spotreba PHM_E (cesty)'!K84)*Parametre!$G$222+('08 Spotreba PHM_E (cesty)'!K85)*Parametre!$C$223)/1000</f>
        <v>11622.772153600661</v>
      </c>
      <c r="L24" s="267">
        <f>L11-(('08 Spotreba PHM_E (cesty)'!L84)*Parametre!$G$222+('08 Spotreba PHM_E (cesty)'!L85)*Parametre!$C$223)/1000</f>
        <v>11622.772153600661</v>
      </c>
      <c r="M24" s="267">
        <f>M11-(('08 Spotreba PHM_E (cesty)'!M84)*Parametre!$G$222+('08 Spotreba PHM_E (cesty)'!M85)*Parametre!$C$223)/1000</f>
        <v>11622.772153600661</v>
      </c>
      <c r="N24" s="267">
        <f>N11-(('08 Spotreba PHM_E (cesty)'!N84)*Parametre!$G$222+('08 Spotreba PHM_E (cesty)'!N85)*Parametre!$C$223)/1000</f>
        <v>11622.772153600661</v>
      </c>
      <c r="O24" s="267">
        <f>O11-(('08 Spotreba PHM_E (cesty)'!O84)*Parametre!$G$222+('08 Spotreba PHM_E (cesty)'!O85)*Parametre!$C$223)/1000</f>
        <v>11622.772153600661</v>
      </c>
      <c r="P24" s="267">
        <f>P11-(('08 Spotreba PHM_E (cesty)'!P84)*Parametre!$G$222+('08 Spotreba PHM_E (cesty)'!P85)*Parametre!$C$223)/1000</f>
        <v>11622.772153600661</v>
      </c>
      <c r="Q24" s="267">
        <f>Q11-(('08 Spotreba PHM_E (cesty)'!Q84)*Parametre!$G$222+('08 Spotreba PHM_E (cesty)'!Q85)*Parametre!$C$223)/1000</f>
        <v>11622.772153600661</v>
      </c>
      <c r="R24" s="267">
        <f>R11-(('08 Spotreba PHM_E (cesty)'!R84)*Parametre!$G$222+('08 Spotreba PHM_E (cesty)'!R85)*Parametre!$C$223)/1000</f>
        <v>11622.772153600661</v>
      </c>
      <c r="S24" s="267">
        <f>S11-(('08 Spotreba PHM_E (cesty)'!S84)*Parametre!$G$222+('08 Spotreba PHM_E (cesty)'!S85)*Parametre!$C$223)/1000</f>
        <v>11622.772153600661</v>
      </c>
      <c r="T24" s="267">
        <f>T11-(('08 Spotreba PHM_E (cesty)'!T84)*Parametre!$G$222+('08 Spotreba PHM_E (cesty)'!T85)*Parametre!$C$223)/1000</f>
        <v>11623.241531204538</v>
      </c>
      <c r="U24" s="267">
        <f>U11-(('08 Spotreba PHM_E (cesty)'!U84)*Parametre!$G$222+('08 Spotreba PHM_E (cesty)'!U85)*Parametre!$C$223)/1000</f>
        <v>11623.709970053205</v>
      </c>
      <c r="V24" s="267">
        <f>V11-(('08 Spotreba PHM_E (cesty)'!V84)*Parametre!$G$222+('08 Spotreba PHM_E (cesty)'!V85)*Parametre!$C$223)/1000</f>
        <v>11624.177472024176</v>
      </c>
      <c r="W24" s="267">
        <f>W11-(('08 Spotreba PHM_E (cesty)'!W84)*Parametre!$G$222+('08 Spotreba PHM_E (cesty)'!W85)*Parametre!$C$223)/1000</f>
        <v>11624.644038991204</v>
      </c>
      <c r="X24" s="267">
        <f>X11-(('08 Spotreba PHM_E (cesty)'!X84)*Parametre!$G$222+('08 Spotreba PHM_E (cesty)'!X85)*Parametre!$C$223)/1000</f>
        <v>11625.109672824299</v>
      </c>
      <c r="Y24" s="267">
        <f>Y11-(('08 Spotreba PHM_E (cesty)'!Y84)*Parametre!$G$222+('08 Spotreba PHM_E (cesty)'!Y85)*Parametre!$C$223)/1000</f>
        <v>11625.574375389728</v>
      </c>
      <c r="Z24" s="267">
        <f>Z11-(('08 Spotreba PHM_E (cesty)'!Z84)*Parametre!$G$222+('08 Spotreba PHM_E (cesty)'!Z85)*Parametre!$C$223)/1000</f>
        <v>11626.038148550026</v>
      </c>
      <c r="AA24" s="267">
        <f>AA11-(('08 Spotreba PHM_E (cesty)'!AA84)*Parametre!$G$222+('08 Spotreba PHM_E (cesty)'!AA85)*Parametre!$C$223)/1000</f>
        <v>11626.500994164002</v>
      </c>
      <c r="AB24" s="267">
        <f>AB11-(('08 Spotreba PHM_E (cesty)'!AB84)*Parametre!$G$222+('08 Spotreba PHM_E (cesty)'!AB85)*Parametre!$C$223)/1000</f>
        <v>11626.962914086751</v>
      </c>
      <c r="AC24" s="267">
        <f>AC11-(('08 Spotreba PHM_E (cesty)'!AC84)*Parametre!$G$222+('08 Spotreba PHM_E (cesty)'!AC85)*Parametre!$C$223)/1000</f>
        <v>11627.423910169655</v>
      </c>
      <c r="AD24" s="267">
        <f>AD11-(('08 Spotreba PHM_E (cesty)'!AD84)*Parametre!$G$222+('08 Spotreba PHM_E (cesty)'!AD85)*Parametre!$C$223)/1000</f>
        <v>11627.883984260394</v>
      </c>
      <c r="AE24" s="267">
        <f>AE11-(('08 Spotreba PHM_E (cesty)'!AE84)*Parametre!$G$222+('08 Spotreba PHM_E (cesty)'!AE85)*Parametre!$C$223)/1000</f>
        <v>11628.34313820295</v>
      </c>
      <c r="AF24" s="267">
        <f>AF11-(('08 Spotreba PHM_E (cesty)'!AF84)*Parametre!$G$222+('08 Spotreba PHM_E (cesty)'!AF85)*Parametre!$C$223)/1000</f>
        <v>11628.801373837621</v>
      </c>
      <c r="AG24" s="267">
        <f>AG11-(('08 Spotreba PHM_E (cesty)'!AG84)*Parametre!$G$222+('08 Spotreba PHM_E (cesty)'!AG85)*Parametre!$C$223)/1000</f>
        <v>11629.258693001022</v>
      </c>
      <c r="AH24" s="267">
        <f>AH11-(('08 Spotreba PHM_E (cesty)'!AH84)*Parametre!$G$222+('08 Spotreba PHM_E (cesty)'!AH85)*Parametre!$C$223)/1000</f>
        <v>11401.969239513621</v>
      </c>
      <c r="AI24" s="267">
        <f>AI11-(('08 Spotreba PHM_E (cesty)'!AI84)*Parametre!$G$222+('08 Spotreba PHM_E (cesty)'!AI85)*Parametre!$C$223)/1000</f>
        <v>11175.589856649216</v>
      </c>
      <c r="AJ24" s="267">
        <f>AJ11-(('08 Spotreba PHM_E (cesty)'!AJ84)*Parametre!$G$222+('08 Spotreba PHM_E (cesty)'!AJ85)*Parametre!$C$223)/1000</f>
        <v>10950.117813283136</v>
      </c>
      <c r="AK24" s="267">
        <f>AK11-(('08 Spotreba PHM_E (cesty)'!AK84)*Parametre!$G$222+('08 Spotreba PHM_E (cesty)'!AK85)*Parametre!$C$223)/1000</f>
        <v>10725.550385574914</v>
      </c>
      <c r="AL24" s="267">
        <f>AL11-(('08 Spotreba PHM_E (cesty)'!AL84)*Parametre!$G$222+('08 Spotreba PHM_E (cesty)'!AL85)*Parametre!$C$223)/1000</f>
        <v>10501.884856950095</v>
      </c>
    </row>
    <row r="25" spans="2:38" x14ac:dyDescent="0.2">
      <c r="B25" s="261" t="s">
        <v>35</v>
      </c>
      <c r="C25" s="268">
        <f t="shared" si="11"/>
        <v>11347869.371289898</v>
      </c>
      <c r="D25" s="268">
        <f t="shared" ref="D25:AG25" si="12">SUM(D18:D24)</f>
        <v>329295.70755008952</v>
      </c>
      <c r="E25" s="268">
        <f t="shared" si="12"/>
        <v>329295.70755008952</v>
      </c>
      <c r="F25" s="268">
        <f t="shared" si="12"/>
        <v>329295.70755008952</v>
      </c>
      <c r="G25" s="268">
        <f t="shared" si="12"/>
        <v>325446.08375612192</v>
      </c>
      <c r="H25" s="268">
        <f t="shared" si="12"/>
        <v>325446.08375612192</v>
      </c>
      <c r="I25" s="268">
        <f t="shared" si="12"/>
        <v>325446.08375612192</v>
      </c>
      <c r="J25" s="268">
        <f t="shared" si="12"/>
        <v>325446.08375612192</v>
      </c>
      <c r="K25" s="268">
        <f t="shared" si="12"/>
        <v>325446.08375612192</v>
      </c>
      <c r="L25" s="268">
        <f t="shared" si="12"/>
        <v>325446.08375612192</v>
      </c>
      <c r="M25" s="268">
        <f t="shared" si="12"/>
        <v>325446.08375612192</v>
      </c>
      <c r="N25" s="268">
        <f t="shared" si="12"/>
        <v>325446.08375612192</v>
      </c>
      <c r="O25" s="268">
        <f t="shared" si="12"/>
        <v>325446.08375612192</v>
      </c>
      <c r="P25" s="268">
        <f t="shared" si="12"/>
        <v>325446.08375612192</v>
      </c>
      <c r="Q25" s="268">
        <f t="shared" si="12"/>
        <v>325446.08375612192</v>
      </c>
      <c r="R25" s="268">
        <f t="shared" si="12"/>
        <v>325446.08375612192</v>
      </c>
      <c r="S25" s="268">
        <f t="shared" si="12"/>
        <v>325446.08375612192</v>
      </c>
      <c r="T25" s="268">
        <f t="shared" si="12"/>
        <v>325453.78300370986</v>
      </c>
      <c r="U25" s="268">
        <f t="shared" si="12"/>
        <v>325461.46685280261</v>
      </c>
      <c r="V25" s="268">
        <f t="shared" si="12"/>
        <v>325469.13533419714</v>
      </c>
      <c r="W25" s="268">
        <f t="shared" si="12"/>
        <v>325476.78847862897</v>
      </c>
      <c r="X25" s="268">
        <f t="shared" si="12"/>
        <v>325484.42631677189</v>
      </c>
      <c r="Y25" s="268">
        <f t="shared" si="12"/>
        <v>325492.04887923854</v>
      </c>
      <c r="Z25" s="268">
        <f t="shared" si="12"/>
        <v>325499.65619658021</v>
      </c>
      <c r="AA25" s="268">
        <f t="shared" si="12"/>
        <v>325507.24829928728</v>
      </c>
      <c r="AB25" s="268">
        <f t="shared" si="12"/>
        <v>325514.82521778886</v>
      </c>
      <c r="AC25" s="268">
        <f t="shared" si="12"/>
        <v>325522.38698245346</v>
      </c>
      <c r="AD25" s="268">
        <f t="shared" si="12"/>
        <v>325529.9336235887</v>
      </c>
      <c r="AE25" s="268">
        <f t="shared" si="12"/>
        <v>325537.46517144173</v>
      </c>
      <c r="AF25" s="268">
        <f t="shared" si="12"/>
        <v>325544.98165619909</v>
      </c>
      <c r="AG25" s="268">
        <f t="shared" si="12"/>
        <v>325552.4831079868</v>
      </c>
      <c r="AH25" s="268">
        <f t="shared" ref="AH25:AL25" si="13">SUM(AH18:AH24)</f>
        <v>321824.23156365246</v>
      </c>
      <c r="AI25" s="268">
        <f t="shared" si="13"/>
        <v>318110.90799839329</v>
      </c>
      <c r="AJ25" s="268">
        <f t="shared" si="13"/>
        <v>314412.46761329903</v>
      </c>
      <c r="AK25" s="268">
        <f t="shared" si="13"/>
        <v>310728.86572894343</v>
      </c>
      <c r="AL25" s="268">
        <f t="shared" si="13"/>
        <v>307060.05778508488</v>
      </c>
    </row>
    <row r="28" spans="2:38" x14ac:dyDescent="0.2">
      <c r="B28" s="260"/>
      <c r="C28" s="260"/>
      <c r="D28" s="260" t="s">
        <v>10</v>
      </c>
      <c r="E28" s="260"/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60"/>
      <c r="AK28" s="260"/>
      <c r="AL28" s="260"/>
    </row>
    <row r="29" spans="2:38" x14ac:dyDescent="0.2">
      <c r="B29" s="261" t="s">
        <v>438</v>
      </c>
      <c r="C29" s="261"/>
      <c r="D29" s="262">
        <v>1</v>
      </c>
      <c r="E29" s="262">
        <v>2</v>
      </c>
      <c r="F29" s="262">
        <v>3</v>
      </c>
      <c r="G29" s="262">
        <v>4</v>
      </c>
      <c r="H29" s="262">
        <v>5</v>
      </c>
      <c r="I29" s="262">
        <v>6</v>
      </c>
      <c r="J29" s="262">
        <v>7</v>
      </c>
      <c r="K29" s="262">
        <v>8</v>
      </c>
      <c r="L29" s="262">
        <v>9</v>
      </c>
      <c r="M29" s="262">
        <v>10</v>
      </c>
      <c r="N29" s="262">
        <v>11</v>
      </c>
      <c r="O29" s="262">
        <v>12</v>
      </c>
      <c r="P29" s="262">
        <v>13</v>
      </c>
      <c r="Q29" s="262">
        <v>14</v>
      </c>
      <c r="R29" s="262">
        <v>15</v>
      </c>
      <c r="S29" s="262">
        <v>16</v>
      </c>
      <c r="T29" s="262">
        <v>17</v>
      </c>
      <c r="U29" s="262">
        <v>18</v>
      </c>
      <c r="V29" s="262">
        <v>19</v>
      </c>
      <c r="W29" s="262">
        <v>20</v>
      </c>
      <c r="X29" s="262">
        <v>21</v>
      </c>
      <c r="Y29" s="262">
        <v>22</v>
      </c>
      <c r="Z29" s="262">
        <v>23</v>
      </c>
      <c r="AA29" s="262">
        <v>24</v>
      </c>
      <c r="AB29" s="262">
        <v>25</v>
      </c>
      <c r="AC29" s="262">
        <v>26</v>
      </c>
      <c r="AD29" s="262">
        <v>27</v>
      </c>
      <c r="AE29" s="262">
        <v>28</v>
      </c>
      <c r="AF29" s="262">
        <v>29</v>
      </c>
      <c r="AG29" s="262">
        <v>30</v>
      </c>
      <c r="AH29" s="262">
        <v>31</v>
      </c>
      <c r="AI29" s="262">
        <v>32</v>
      </c>
      <c r="AJ29" s="262">
        <v>33</v>
      </c>
      <c r="AK29" s="262">
        <v>34</v>
      </c>
      <c r="AL29" s="262">
        <v>35</v>
      </c>
    </row>
    <row r="30" spans="2:38" x14ac:dyDescent="0.2">
      <c r="B30" s="263" t="s">
        <v>63</v>
      </c>
      <c r="C30" s="264" t="s">
        <v>9</v>
      </c>
      <c r="D30" s="265">
        <f>D4</f>
        <v>2025</v>
      </c>
      <c r="E30" s="265">
        <f t="shared" ref="E30:AG30" si="14">E4</f>
        <v>2026</v>
      </c>
      <c r="F30" s="265">
        <f t="shared" si="14"/>
        <v>2027</v>
      </c>
      <c r="G30" s="265">
        <f t="shared" si="14"/>
        <v>2028</v>
      </c>
      <c r="H30" s="265">
        <f t="shared" si="14"/>
        <v>2029</v>
      </c>
      <c r="I30" s="265">
        <f t="shared" si="14"/>
        <v>2030</v>
      </c>
      <c r="J30" s="265">
        <f t="shared" si="14"/>
        <v>2031</v>
      </c>
      <c r="K30" s="265">
        <f t="shared" si="14"/>
        <v>2032</v>
      </c>
      <c r="L30" s="265">
        <f t="shared" si="14"/>
        <v>2033</v>
      </c>
      <c r="M30" s="265">
        <f t="shared" si="14"/>
        <v>2034</v>
      </c>
      <c r="N30" s="265">
        <f t="shared" si="14"/>
        <v>2035</v>
      </c>
      <c r="O30" s="265">
        <f t="shared" si="14"/>
        <v>2036</v>
      </c>
      <c r="P30" s="265">
        <f t="shared" si="14"/>
        <v>2037</v>
      </c>
      <c r="Q30" s="265">
        <f t="shared" si="14"/>
        <v>2038</v>
      </c>
      <c r="R30" s="265">
        <f t="shared" si="14"/>
        <v>2039</v>
      </c>
      <c r="S30" s="265">
        <f t="shared" si="14"/>
        <v>2040</v>
      </c>
      <c r="T30" s="265">
        <f t="shared" si="14"/>
        <v>2041</v>
      </c>
      <c r="U30" s="265">
        <f t="shared" si="14"/>
        <v>2042</v>
      </c>
      <c r="V30" s="265">
        <f t="shared" si="14"/>
        <v>2043</v>
      </c>
      <c r="W30" s="265">
        <f t="shared" si="14"/>
        <v>2044</v>
      </c>
      <c r="X30" s="265">
        <f t="shared" si="14"/>
        <v>2045</v>
      </c>
      <c r="Y30" s="265">
        <f t="shared" si="14"/>
        <v>2046</v>
      </c>
      <c r="Z30" s="265">
        <f t="shared" si="14"/>
        <v>2047</v>
      </c>
      <c r="AA30" s="265">
        <f t="shared" si="14"/>
        <v>2048</v>
      </c>
      <c r="AB30" s="265">
        <f t="shared" si="14"/>
        <v>2049</v>
      </c>
      <c r="AC30" s="265">
        <f t="shared" si="14"/>
        <v>2050</v>
      </c>
      <c r="AD30" s="265">
        <f t="shared" si="14"/>
        <v>2051</v>
      </c>
      <c r="AE30" s="265">
        <f t="shared" si="14"/>
        <v>2052</v>
      </c>
      <c r="AF30" s="265">
        <f t="shared" si="14"/>
        <v>2053</v>
      </c>
      <c r="AG30" s="265">
        <f t="shared" si="14"/>
        <v>2054</v>
      </c>
      <c r="AH30" s="265">
        <f t="shared" ref="AH30:AL30" si="15">AH4</f>
        <v>2055</v>
      </c>
      <c r="AI30" s="265">
        <f t="shared" si="15"/>
        <v>2056</v>
      </c>
      <c r="AJ30" s="265">
        <f t="shared" si="15"/>
        <v>2057</v>
      </c>
      <c r="AK30" s="265">
        <f t="shared" si="15"/>
        <v>2058</v>
      </c>
      <c r="AL30" s="265">
        <f t="shared" si="15"/>
        <v>2059</v>
      </c>
    </row>
    <row r="31" spans="2:38" x14ac:dyDescent="0.2">
      <c r="B31" s="31" t="s">
        <v>391</v>
      </c>
      <c r="C31" s="266">
        <f t="shared" ref="C31:C38" si="16">SUM(D31:AL31)</f>
        <v>0</v>
      </c>
      <c r="D31" s="266">
        <f>D5-D18</f>
        <v>0</v>
      </c>
      <c r="E31" s="266">
        <f t="shared" ref="E31:AG37" si="17">E5-E18</f>
        <v>0</v>
      </c>
      <c r="F31" s="266">
        <f t="shared" si="17"/>
        <v>0</v>
      </c>
      <c r="G31" s="266">
        <f t="shared" si="17"/>
        <v>0</v>
      </c>
      <c r="H31" s="266">
        <f t="shared" si="17"/>
        <v>0</v>
      </c>
      <c r="I31" s="266">
        <f t="shared" si="17"/>
        <v>0</v>
      </c>
      <c r="J31" s="266">
        <f t="shared" si="17"/>
        <v>0</v>
      </c>
      <c r="K31" s="266">
        <f t="shared" si="17"/>
        <v>0</v>
      </c>
      <c r="L31" s="266">
        <f t="shared" si="17"/>
        <v>0</v>
      </c>
      <c r="M31" s="266">
        <f t="shared" si="17"/>
        <v>0</v>
      </c>
      <c r="N31" s="266">
        <f t="shared" si="17"/>
        <v>0</v>
      </c>
      <c r="O31" s="266">
        <f t="shared" si="17"/>
        <v>0</v>
      </c>
      <c r="P31" s="266">
        <f t="shared" si="17"/>
        <v>0</v>
      </c>
      <c r="Q31" s="266">
        <f t="shared" si="17"/>
        <v>0</v>
      </c>
      <c r="R31" s="266">
        <f t="shared" si="17"/>
        <v>0</v>
      </c>
      <c r="S31" s="266">
        <f t="shared" si="17"/>
        <v>0</v>
      </c>
      <c r="T31" s="266">
        <f t="shared" si="17"/>
        <v>0</v>
      </c>
      <c r="U31" s="266">
        <f t="shared" si="17"/>
        <v>0</v>
      </c>
      <c r="V31" s="266">
        <f t="shared" si="17"/>
        <v>0</v>
      </c>
      <c r="W31" s="266">
        <f t="shared" si="17"/>
        <v>0</v>
      </c>
      <c r="X31" s="266">
        <f t="shared" si="17"/>
        <v>0</v>
      </c>
      <c r="Y31" s="266">
        <f t="shared" si="17"/>
        <v>0</v>
      </c>
      <c r="Z31" s="266">
        <f t="shared" si="17"/>
        <v>0</v>
      </c>
      <c r="AA31" s="266">
        <f t="shared" si="17"/>
        <v>0</v>
      </c>
      <c r="AB31" s="266">
        <f t="shared" si="17"/>
        <v>0</v>
      </c>
      <c r="AC31" s="266">
        <f t="shared" si="17"/>
        <v>0</v>
      </c>
      <c r="AD31" s="266">
        <f t="shared" si="17"/>
        <v>0</v>
      </c>
      <c r="AE31" s="266">
        <f t="shared" si="17"/>
        <v>0</v>
      </c>
      <c r="AF31" s="266">
        <f t="shared" si="17"/>
        <v>0</v>
      </c>
      <c r="AG31" s="266">
        <f t="shared" si="17"/>
        <v>0</v>
      </c>
      <c r="AH31" s="266">
        <f t="shared" ref="AH31:AL31" si="18">AH5-AH18</f>
        <v>0</v>
      </c>
      <c r="AI31" s="266">
        <f t="shared" si="18"/>
        <v>0</v>
      </c>
      <c r="AJ31" s="266">
        <f t="shared" si="18"/>
        <v>0</v>
      </c>
      <c r="AK31" s="266">
        <f t="shared" si="18"/>
        <v>0</v>
      </c>
      <c r="AL31" s="266">
        <f t="shared" si="18"/>
        <v>0</v>
      </c>
    </row>
    <row r="32" spans="2:38" x14ac:dyDescent="0.2">
      <c r="B32" s="31" t="s">
        <v>392</v>
      </c>
      <c r="C32" s="266">
        <f t="shared" si="16"/>
        <v>5051.4698204116539</v>
      </c>
      <c r="D32" s="266">
        <f t="shared" ref="D32:S37" si="19">D6-D19</f>
        <v>0</v>
      </c>
      <c r="E32" s="266">
        <f t="shared" si="19"/>
        <v>0</v>
      </c>
      <c r="F32" s="266">
        <f t="shared" si="19"/>
        <v>0</v>
      </c>
      <c r="G32" s="266">
        <f t="shared" si="19"/>
        <v>109.56848861155413</v>
      </c>
      <c r="H32" s="266">
        <f t="shared" si="19"/>
        <v>109.56848861155413</v>
      </c>
      <c r="I32" s="266">
        <f t="shared" si="19"/>
        <v>109.56848861155413</v>
      </c>
      <c r="J32" s="266">
        <f t="shared" si="19"/>
        <v>109.56848861155413</v>
      </c>
      <c r="K32" s="266">
        <f t="shared" si="19"/>
        <v>109.56848861155413</v>
      </c>
      <c r="L32" s="266">
        <f t="shared" si="19"/>
        <v>109.56848861155413</v>
      </c>
      <c r="M32" s="266">
        <f t="shared" si="19"/>
        <v>109.56848861155413</v>
      </c>
      <c r="N32" s="266">
        <f t="shared" si="19"/>
        <v>109.56848861155413</v>
      </c>
      <c r="O32" s="266">
        <f t="shared" si="19"/>
        <v>109.56848861155413</v>
      </c>
      <c r="P32" s="266">
        <f t="shared" si="19"/>
        <v>109.56848861155413</v>
      </c>
      <c r="Q32" s="266">
        <f t="shared" si="19"/>
        <v>109.56848861155413</v>
      </c>
      <c r="R32" s="266">
        <f t="shared" si="19"/>
        <v>109.56848861155413</v>
      </c>
      <c r="S32" s="266">
        <f t="shared" si="19"/>
        <v>109.56848861155413</v>
      </c>
      <c r="T32" s="266">
        <f t="shared" si="17"/>
        <v>109.34935163433147</v>
      </c>
      <c r="U32" s="266">
        <f t="shared" si="17"/>
        <v>109.13065293106229</v>
      </c>
      <c r="V32" s="266">
        <f t="shared" si="17"/>
        <v>108.91239162520105</v>
      </c>
      <c r="W32" s="266">
        <f t="shared" si="17"/>
        <v>108.69456684195029</v>
      </c>
      <c r="X32" s="266">
        <f t="shared" si="17"/>
        <v>108.47717770826603</v>
      </c>
      <c r="Y32" s="266">
        <f t="shared" si="17"/>
        <v>108.2602233528487</v>
      </c>
      <c r="Z32" s="266">
        <f t="shared" si="17"/>
        <v>108.04370290614315</v>
      </c>
      <c r="AA32" s="266">
        <f t="shared" si="17"/>
        <v>107.82761550033138</v>
      </c>
      <c r="AB32" s="266">
        <f t="shared" si="17"/>
        <v>107.61196026933067</v>
      </c>
      <c r="AC32" s="266">
        <f t="shared" si="17"/>
        <v>107.39673634879182</v>
      </c>
      <c r="AD32" s="266">
        <f t="shared" si="17"/>
        <v>107.18194287609367</v>
      </c>
      <c r="AE32" s="266">
        <f t="shared" si="17"/>
        <v>106.9675789903431</v>
      </c>
      <c r="AF32" s="266">
        <f t="shared" si="17"/>
        <v>106.75364383236229</v>
      </c>
      <c r="AG32" s="266">
        <f t="shared" si="17"/>
        <v>106.540136544696</v>
      </c>
      <c r="AH32" s="266">
        <f t="shared" ref="AH32:AL32" si="20">AH6-AH19</f>
        <v>212.65411254321407</v>
      </c>
      <c r="AI32" s="266">
        <f t="shared" si="20"/>
        <v>318.34320647719323</v>
      </c>
      <c r="AJ32" s="266">
        <f t="shared" si="20"/>
        <v>423.60869341898433</v>
      </c>
      <c r="AK32" s="266">
        <f t="shared" si="20"/>
        <v>528.45184504018289</v>
      </c>
      <c r="AL32" s="266">
        <f t="shared" si="20"/>
        <v>632.87392962012382</v>
      </c>
    </row>
    <row r="33" spans="2:38" x14ac:dyDescent="0.2">
      <c r="B33" s="31" t="s">
        <v>393</v>
      </c>
      <c r="C33" s="266">
        <f t="shared" si="16"/>
        <v>0</v>
      </c>
      <c r="D33" s="266">
        <f t="shared" si="19"/>
        <v>0</v>
      </c>
      <c r="E33" s="266">
        <f t="shared" si="17"/>
        <v>0</v>
      </c>
      <c r="F33" s="266">
        <f t="shared" si="17"/>
        <v>0</v>
      </c>
      <c r="G33" s="266">
        <f t="shared" si="17"/>
        <v>0</v>
      </c>
      <c r="H33" s="266">
        <f t="shared" si="17"/>
        <v>0</v>
      </c>
      <c r="I33" s="266">
        <f t="shared" si="17"/>
        <v>0</v>
      </c>
      <c r="J33" s="266">
        <f t="shared" si="17"/>
        <v>0</v>
      </c>
      <c r="K33" s="266">
        <f t="shared" si="17"/>
        <v>0</v>
      </c>
      <c r="L33" s="266">
        <f t="shared" si="17"/>
        <v>0</v>
      </c>
      <c r="M33" s="266">
        <f t="shared" si="17"/>
        <v>0</v>
      </c>
      <c r="N33" s="266">
        <f t="shared" si="17"/>
        <v>0</v>
      </c>
      <c r="O33" s="266">
        <f t="shared" si="17"/>
        <v>0</v>
      </c>
      <c r="P33" s="266">
        <f t="shared" si="17"/>
        <v>0</v>
      </c>
      <c r="Q33" s="266">
        <f t="shared" si="17"/>
        <v>0</v>
      </c>
      <c r="R33" s="266">
        <f t="shared" si="17"/>
        <v>0</v>
      </c>
      <c r="S33" s="266">
        <f t="shared" si="17"/>
        <v>0</v>
      </c>
      <c r="T33" s="266">
        <f t="shared" si="17"/>
        <v>0</v>
      </c>
      <c r="U33" s="266">
        <f t="shared" si="17"/>
        <v>0</v>
      </c>
      <c r="V33" s="266">
        <f t="shared" si="17"/>
        <v>0</v>
      </c>
      <c r="W33" s="266">
        <f t="shared" si="17"/>
        <v>0</v>
      </c>
      <c r="X33" s="266">
        <f t="shared" si="17"/>
        <v>0</v>
      </c>
      <c r="Y33" s="266">
        <f t="shared" si="17"/>
        <v>0</v>
      </c>
      <c r="Z33" s="266">
        <f t="shared" si="17"/>
        <v>0</v>
      </c>
      <c r="AA33" s="266">
        <f t="shared" si="17"/>
        <v>0</v>
      </c>
      <c r="AB33" s="266">
        <f t="shared" si="17"/>
        <v>0</v>
      </c>
      <c r="AC33" s="266">
        <f t="shared" si="17"/>
        <v>0</v>
      </c>
      <c r="AD33" s="266">
        <f t="shared" si="17"/>
        <v>0</v>
      </c>
      <c r="AE33" s="266">
        <f t="shared" si="17"/>
        <v>0</v>
      </c>
      <c r="AF33" s="266">
        <f t="shared" si="17"/>
        <v>0</v>
      </c>
      <c r="AG33" s="266">
        <f t="shared" si="17"/>
        <v>0</v>
      </c>
      <c r="AH33" s="266">
        <f t="shared" ref="AH33:AL33" si="21">AH7-AH20</f>
        <v>0</v>
      </c>
      <c r="AI33" s="266">
        <f t="shared" si="21"/>
        <v>0</v>
      </c>
      <c r="AJ33" s="266">
        <f t="shared" si="21"/>
        <v>0</v>
      </c>
      <c r="AK33" s="266">
        <f t="shared" si="21"/>
        <v>0</v>
      </c>
      <c r="AL33" s="266">
        <f t="shared" si="21"/>
        <v>0</v>
      </c>
    </row>
    <row r="34" spans="2:38" x14ac:dyDescent="0.2">
      <c r="B34" s="31" t="s">
        <v>394</v>
      </c>
      <c r="C34" s="266">
        <f t="shared" si="16"/>
        <v>104422.3490403964</v>
      </c>
      <c r="D34" s="266">
        <f t="shared" si="19"/>
        <v>0</v>
      </c>
      <c r="E34" s="266">
        <f t="shared" si="17"/>
        <v>0</v>
      </c>
      <c r="F34" s="266">
        <f t="shared" si="17"/>
        <v>0</v>
      </c>
      <c r="G34" s="266">
        <f t="shared" si="17"/>
        <v>2264.9643308552913</v>
      </c>
      <c r="H34" s="266">
        <f t="shared" si="17"/>
        <v>2264.9643308552913</v>
      </c>
      <c r="I34" s="266">
        <f t="shared" si="17"/>
        <v>2264.9643308552913</v>
      </c>
      <c r="J34" s="266">
        <f t="shared" si="17"/>
        <v>2264.9643308552913</v>
      </c>
      <c r="K34" s="266">
        <f t="shared" si="17"/>
        <v>2264.9643308552913</v>
      </c>
      <c r="L34" s="266">
        <f t="shared" si="17"/>
        <v>2264.9643308552913</v>
      </c>
      <c r="M34" s="266">
        <f t="shared" si="17"/>
        <v>2264.9643308552913</v>
      </c>
      <c r="N34" s="266">
        <f t="shared" si="17"/>
        <v>2264.9643308552913</v>
      </c>
      <c r="O34" s="266">
        <f t="shared" si="17"/>
        <v>2264.9643308552913</v>
      </c>
      <c r="P34" s="266">
        <f t="shared" si="17"/>
        <v>2264.9643308552913</v>
      </c>
      <c r="Q34" s="266">
        <f t="shared" si="17"/>
        <v>2264.9643308552913</v>
      </c>
      <c r="R34" s="266">
        <f t="shared" si="17"/>
        <v>2264.9643308552913</v>
      </c>
      <c r="S34" s="266">
        <f t="shared" si="17"/>
        <v>2264.9643308552913</v>
      </c>
      <c r="T34" s="266">
        <f t="shared" si="17"/>
        <v>2260.4344021935831</v>
      </c>
      <c r="U34" s="266">
        <f t="shared" si="17"/>
        <v>2255.91353338919</v>
      </c>
      <c r="V34" s="266">
        <f t="shared" si="17"/>
        <v>2251.4017063224164</v>
      </c>
      <c r="W34" s="266">
        <f t="shared" si="17"/>
        <v>2246.898902909772</v>
      </c>
      <c r="X34" s="266">
        <f t="shared" si="17"/>
        <v>2242.4051051039714</v>
      </c>
      <c r="Y34" s="266">
        <f t="shared" si="17"/>
        <v>2237.92029489376</v>
      </c>
      <c r="Z34" s="266">
        <f t="shared" si="17"/>
        <v>2233.4444543039717</v>
      </c>
      <c r="AA34" s="266">
        <f t="shared" si="17"/>
        <v>2228.9775653953548</v>
      </c>
      <c r="AB34" s="266">
        <f t="shared" si="17"/>
        <v>2224.5196102645714</v>
      </c>
      <c r="AC34" s="266">
        <f t="shared" si="17"/>
        <v>2220.0705710440234</v>
      </c>
      <c r="AD34" s="266">
        <f t="shared" si="17"/>
        <v>2215.6304299019394</v>
      </c>
      <c r="AE34" s="266">
        <f t="shared" si="17"/>
        <v>2211.1991690421419</v>
      </c>
      <c r="AF34" s="266">
        <f>AF8-AF21</f>
        <v>2206.7767707040475</v>
      </c>
      <c r="AG34" s="266">
        <f t="shared" si="17"/>
        <v>2202.3632171626377</v>
      </c>
      <c r="AH34" s="266">
        <f t="shared" ref="AH34:AL34" si="22">AH8-AH21</f>
        <v>4395.9169814566558</v>
      </c>
      <c r="AI34" s="266">
        <f t="shared" si="22"/>
        <v>6580.6877212405961</v>
      </c>
      <c r="AJ34" s="266">
        <f t="shared" si="22"/>
        <v>8756.7017943974934</v>
      </c>
      <c r="AK34" s="266">
        <f t="shared" si="22"/>
        <v>10923.985488510865</v>
      </c>
      <c r="AL34" s="266">
        <f t="shared" si="22"/>
        <v>13082.565021040617</v>
      </c>
    </row>
    <row r="35" spans="2:38" x14ac:dyDescent="0.2">
      <c r="B35" s="31" t="s">
        <v>135</v>
      </c>
      <c r="C35" s="266">
        <f t="shared" si="16"/>
        <v>196.14116501244359</v>
      </c>
      <c r="D35" s="266">
        <f t="shared" si="19"/>
        <v>0</v>
      </c>
      <c r="E35" s="266">
        <f t="shared" si="17"/>
        <v>0</v>
      </c>
      <c r="F35" s="266">
        <f t="shared" si="17"/>
        <v>0</v>
      </c>
      <c r="G35" s="266">
        <f t="shared" si="17"/>
        <v>4.2543837276991781</v>
      </c>
      <c r="H35" s="266">
        <f t="shared" si="17"/>
        <v>4.2543837276991781</v>
      </c>
      <c r="I35" s="266">
        <f t="shared" si="17"/>
        <v>4.2543837276991781</v>
      </c>
      <c r="J35" s="266">
        <f t="shared" si="17"/>
        <v>4.2543837276991781</v>
      </c>
      <c r="K35" s="266">
        <f t="shared" si="17"/>
        <v>4.2543837276991781</v>
      </c>
      <c r="L35" s="266">
        <f t="shared" si="17"/>
        <v>4.2543837276991781</v>
      </c>
      <c r="M35" s="266">
        <f t="shared" si="17"/>
        <v>4.2543837276991781</v>
      </c>
      <c r="N35" s="266">
        <f t="shared" si="17"/>
        <v>4.2543837276991781</v>
      </c>
      <c r="O35" s="266">
        <f t="shared" si="17"/>
        <v>4.2543837276991781</v>
      </c>
      <c r="P35" s="266">
        <f t="shared" si="17"/>
        <v>4.2543837276991781</v>
      </c>
      <c r="Q35" s="266">
        <f t="shared" si="17"/>
        <v>4.2543837276991781</v>
      </c>
      <c r="R35" s="266">
        <f t="shared" si="17"/>
        <v>4.2543837276991781</v>
      </c>
      <c r="S35" s="266">
        <f t="shared" si="17"/>
        <v>4.2543837276991781</v>
      </c>
      <c r="T35" s="266">
        <f t="shared" si="17"/>
        <v>4.245874960243782</v>
      </c>
      <c r="U35" s="266">
        <f t="shared" si="17"/>
        <v>4.2373832103232871</v>
      </c>
      <c r="V35" s="266">
        <f t="shared" si="17"/>
        <v>4.2289084439026396</v>
      </c>
      <c r="W35" s="266">
        <f t="shared" si="17"/>
        <v>4.2204506270148272</v>
      </c>
      <c r="X35" s="266">
        <f t="shared" si="17"/>
        <v>4.2120097257608222</v>
      </c>
      <c r="Y35" s="266">
        <f t="shared" si="17"/>
        <v>4.2035857063092976</v>
      </c>
      <c r="Z35" s="266">
        <f t="shared" si="17"/>
        <v>4.1951785348966837</v>
      </c>
      <c r="AA35" s="266">
        <f t="shared" si="17"/>
        <v>4.1867881778268838</v>
      </c>
      <c r="AB35" s="266">
        <f t="shared" si="17"/>
        <v>4.1784146014712178</v>
      </c>
      <c r="AC35" s="266">
        <f t="shared" si="17"/>
        <v>4.1700577722683079</v>
      </c>
      <c r="AD35" s="266">
        <f t="shared" si="17"/>
        <v>4.1617176567237379</v>
      </c>
      <c r="AE35" s="266">
        <f t="shared" si="17"/>
        <v>4.1533942214103377</v>
      </c>
      <c r="AF35" s="266">
        <f t="shared" si="17"/>
        <v>4.1450874329675003</v>
      </c>
      <c r="AG35" s="266">
        <f t="shared" si="17"/>
        <v>4.1367972581015806</v>
      </c>
      <c r="AH35" s="266">
        <f t="shared" ref="AH35:AL35" si="23">AH9-AH22</f>
        <v>8.2570473271707101</v>
      </c>
      <c r="AI35" s="266">
        <f t="shared" si="23"/>
        <v>12.360799848774548</v>
      </c>
      <c r="AJ35" s="266">
        <f t="shared" si="23"/>
        <v>16.448104332102673</v>
      </c>
      <c r="AK35" s="266">
        <f t="shared" si="23"/>
        <v>20.519010154298087</v>
      </c>
      <c r="AL35" s="266">
        <f t="shared" si="23"/>
        <v>24.573566560787356</v>
      </c>
    </row>
    <row r="36" spans="2:38" ht="11.65" customHeight="1" x14ac:dyDescent="0.2">
      <c r="B36" s="31" t="s">
        <v>132</v>
      </c>
      <c r="C36" s="266">
        <f t="shared" si="16"/>
        <v>56990.502725716142</v>
      </c>
      <c r="D36" s="266">
        <f t="shared" si="19"/>
        <v>0</v>
      </c>
      <c r="E36" s="266">
        <f t="shared" si="17"/>
        <v>0</v>
      </c>
      <c r="F36" s="266">
        <f t="shared" si="17"/>
        <v>0</v>
      </c>
      <c r="G36" s="266">
        <f t="shared" si="17"/>
        <v>1236.147788835151</v>
      </c>
      <c r="H36" s="266">
        <f t="shared" si="17"/>
        <v>1236.147788835151</v>
      </c>
      <c r="I36" s="266">
        <f t="shared" si="17"/>
        <v>1236.147788835151</v>
      </c>
      <c r="J36" s="266">
        <f t="shared" si="17"/>
        <v>1236.147788835151</v>
      </c>
      <c r="K36" s="266">
        <f t="shared" si="17"/>
        <v>1236.147788835151</v>
      </c>
      <c r="L36" s="266">
        <f t="shared" si="17"/>
        <v>1236.147788835151</v>
      </c>
      <c r="M36" s="266">
        <f t="shared" si="17"/>
        <v>1236.147788835151</v>
      </c>
      <c r="N36" s="266">
        <f t="shared" si="17"/>
        <v>1236.147788835151</v>
      </c>
      <c r="O36" s="266">
        <f t="shared" si="17"/>
        <v>1236.147788835151</v>
      </c>
      <c r="P36" s="266">
        <f t="shared" si="17"/>
        <v>1236.147788835151</v>
      </c>
      <c r="Q36" s="266">
        <f t="shared" si="17"/>
        <v>1236.147788835151</v>
      </c>
      <c r="R36" s="266">
        <f t="shared" si="17"/>
        <v>1236.147788835151</v>
      </c>
      <c r="S36" s="266">
        <f t="shared" si="17"/>
        <v>1236.147788835151</v>
      </c>
      <c r="T36" s="266">
        <f t="shared" si="17"/>
        <v>1233.675493257484</v>
      </c>
      <c r="U36" s="266">
        <f t="shared" si="17"/>
        <v>1231.2081422709743</v>
      </c>
      <c r="V36" s="266">
        <f t="shared" si="17"/>
        <v>1228.7457259864314</v>
      </c>
      <c r="W36" s="266">
        <f t="shared" si="17"/>
        <v>1226.2882345344551</v>
      </c>
      <c r="X36" s="266">
        <f t="shared" si="17"/>
        <v>1223.8356580653781</v>
      </c>
      <c r="Y36" s="266">
        <f t="shared" si="17"/>
        <v>1221.3879867492506</v>
      </c>
      <c r="Z36" s="266">
        <f t="shared" si="17"/>
        <v>1218.9452107757534</v>
      </c>
      <c r="AA36" s="266">
        <f t="shared" si="17"/>
        <v>1216.5073203541979</v>
      </c>
      <c r="AB36" s="266">
        <f t="shared" si="17"/>
        <v>1214.0743057134969</v>
      </c>
      <c r="AC36" s="266">
        <f t="shared" si="17"/>
        <v>1211.6461571020627</v>
      </c>
      <c r="AD36" s="266">
        <f t="shared" si="17"/>
        <v>1209.2228647878655</v>
      </c>
      <c r="AE36" s="266">
        <f t="shared" si="17"/>
        <v>1206.8044190582877</v>
      </c>
      <c r="AF36" s="266">
        <f t="shared" si="17"/>
        <v>1204.3908102201676</v>
      </c>
      <c r="AG36" s="266">
        <f t="shared" si="17"/>
        <v>1201.9820285997266</v>
      </c>
      <c r="AH36" s="266">
        <f t="shared" ref="AH36:AL36" si="24">AH10-AH23</f>
        <v>2399.1561290850659</v>
      </c>
      <c r="AI36" s="266">
        <f t="shared" si="24"/>
        <v>3591.5367252403375</v>
      </c>
      <c r="AJ36" s="266">
        <f t="shared" si="24"/>
        <v>4779.1382023864862</v>
      </c>
      <c r="AK36" s="266">
        <f t="shared" si="24"/>
        <v>5961.9749074771389</v>
      </c>
      <c r="AL36" s="266">
        <f t="shared" si="24"/>
        <v>7140.0611491946183</v>
      </c>
    </row>
    <row r="37" spans="2:38" x14ac:dyDescent="0.2">
      <c r="B37" s="31" t="s">
        <v>136</v>
      </c>
      <c r="C37" s="266">
        <f t="shared" si="16"/>
        <v>10819.930211695284</v>
      </c>
      <c r="D37" s="266">
        <f t="shared" si="19"/>
        <v>0</v>
      </c>
      <c r="E37" s="266">
        <f t="shared" si="17"/>
        <v>0</v>
      </c>
      <c r="F37" s="266">
        <f t="shared" si="17"/>
        <v>0</v>
      </c>
      <c r="G37" s="266">
        <f t="shared" si="17"/>
        <v>234.68880193791483</v>
      </c>
      <c r="H37" s="266">
        <f t="shared" si="17"/>
        <v>234.68880193791483</v>
      </c>
      <c r="I37" s="266">
        <f t="shared" si="17"/>
        <v>234.68880193791483</v>
      </c>
      <c r="J37" s="266">
        <f t="shared" si="17"/>
        <v>234.68880193791483</v>
      </c>
      <c r="K37" s="266">
        <f t="shared" si="17"/>
        <v>234.68880193791483</v>
      </c>
      <c r="L37" s="266">
        <f t="shared" si="17"/>
        <v>234.68880193791483</v>
      </c>
      <c r="M37" s="266">
        <f t="shared" si="17"/>
        <v>234.68880193791483</v>
      </c>
      <c r="N37" s="266">
        <f t="shared" si="17"/>
        <v>234.68880193791483</v>
      </c>
      <c r="O37" s="266">
        <f t="shared" si="17"/>
        <v>234.68880193791483</v>
      </c>
      <c r="P37" s="266">
        <f t="shared" si="17"/>
        <v>234.68880193791483</v>
      </c>
      <c r="Q37" s="266">
        <f t="shared" si="17"/>
        <v>234.68880193791483</v>
      </c>
      <c r="R37" s="266">
        <f t="shared" si="17"/>
        <v>234.68880193791483</v>
      </c>
      <c r="S37" s="266">
        <f t="shared" si="17"/>
        <v>234.68880193791483</v>
      </c>
      <c r="T37" s="266">
        <f t="shared" si="17"/>
        <v>234.21942433403819</v>
      </c>
      <c r="U37" s="266">
        <f t="shared" si="17"/>
        <v>233.75098548537062</v>
      </c>
      <c r="V37" s="266">
        <f t="shared" si="17"/>
        <v>233.28348351440036</v>
      </c>
      <c r="W37" s="266">
        <f t="shared" si="17"/>
        <v>232.81691654737187</v>
      </c>
      <c r="X37" s="266">
        <f t="shared" si="17"/>
        <v>232.35128271427675</v>
      </c>
      <c r="Y37" s="266">
        <f t="shared" si="17"/>
        <v>231.88658014884822</v>
      </c>
      <c r="Z37" s="266">
        <f t="shared" si="17"/>
        <v>231.42280698855029</v>
      </c>
      <c r="AA37" s="266">
        <f t="shared" si="17"/>
        <v>230.95996137457405</v>
      </c>
      <c r="AB37" s="266">
        <f t="shared" si="17"/>
        <v>230.49804145182497</v>
      </c>
      <c r="AC37" s="266">
        <f t="shared" si="17"/>
        <v>230.0370453689211</v>
      </c>
      <c r="AD37" s="266">
        <f t="shared" si="17"/>
        <v>229.5769712781821</v>
      </c>
      <c r="AE37" s="266">
        <f t="shared" si="17"/>
        <v>229.11781733562566</v>
      </c>
      <c r="AF37" s="266">
        <f t="shared" si="17"/>
        <v>228.65958170095473</v>
      </c>
      <c r="AG37" s="266">
        <f t="shared" si="17"/>
        <v>228.20226253755391</v>
      </c>
      <c r="AH37" s="266">
        <f t="shared" ref="AH37:AL37" si="25">AH11-AH24</f>
        <v>455.49171602495517</v>
      </c>
      <c r="AI37" s="266">
        <f t="shared" si="25"/>
        <v>681.87109888935993</v>
      </c>
      <c r="AJ37" s="266">
        <f t="shared" si="25"/>
        <v>907.3431422554404</v>
      </c>
      <c r="AK37" s="266">
        <f t="shared" si="25"/>
        <v>1131.9105699636621</v>
      </c>
      <c r="AL37" s="266">
        <f t="shared" si="25"/>
        <v>1355.5760985884808</v>
      </c>
    </row>
    <row r="38" spans="2:38" x14ac:dyDescent="0.2">
      <c r="B38" s="270" t="s">
        <v>59</v>
      </c>
      <c r="C38" s="271">
        <f t="shared" si="16"/>
        <v>177480.39296323189</v>
      </c>
      <c r="D38" s="275">
        <f>SUM(D31:D37)</f>
        <v>0</v>
      </c>
      <c r="E38" s="271">
        <f t="shared" ref="E38:AG38" si="26">SUM(E31:E37)</f>
        <v>0</v>
      </c>
      <c r="F38" s="271">
        <f t="shared" si="26"/>
        <v>0</v>
      </c>
      <c r="G38" s="271">
        <f t="shared" si="26"/>
        <v>3849.6237939676103</v>
      </c>
      <c r="H38" s="271">
        <f t="shared" si="26"/>
        <v>3849.6237939676103</v>
      </c>
      <c r="I38" s="271">
        <f t="shared" si="26"/>
        <v>3849.6237939676103</v>
      </c>
      <c r="J38" s="271">
        <f t="shared" si="26"/>
        <v>3849.6237939676103</v>
      </c>
      <c r="K38" s="271">
        <f t="shared" si="26"/>
        <v>3849.6237939676103</v>
      </c>
      <c r="L38" s="271">
        <f t="shared" si="26"/>
        <v>3849.6237939676103</v>
      </c>
      <c r="M38" s="271">
        <f t="shared" si="26"/>
        <v>3849.6237939676103</v>
      </c>
      <c r="N38" s="271">
        <f t="shared" si="26"/>
        <v>3849.6237939676103</v>
      </c>
      <c r="O38" s="271">
        <f t="shared" si="26"/>
        <v>3849.6237939676103</v>
      </c>
      <c r="P38" s="271">
        <f t="shared" si="26"/>
        <v>3849.6237939676103</v>
      </c>
      <c r="Q38" s="271">
        <f t="shared" si="26"/>
        <v>3849.6237939676103</v>
      </c>
      <c r="R38" s="271">
        <f t="shared" si="26"/>
        <v>3849.6237939676103</v>
      </c>
      <c r="S38" s="271">
        <f t="shared" si="26"/>
        <v>3849.6237939676103</v>
      </c>
      <c r="T38" s="271">
        <f t="shared" si="26"/>
        <v>3841.9245463796806</v>
      </c>
      <c r="U38" s="271">
        <f t="shared" si="26"/>
        <v>3834.2406972869203</v>
      </c>
      <c r="V38" s="271">
        <f t="shared" si="26"/>
        <v>3826.5722158923518</v>
      </c>
      <c r="W38" s="271">
        <f t="shared" si="26"/>
        <v>3818.9190714605643</v>
      </c>
      <c r="X38" s="271">
        <f t="shared" si="26"/>
        <v>3811.281233317653</v>
      </c>
      <c r="Y38" s="271">
        <f t="shared" si="26"/>
        <v>3803.6586708510167</v>
      </c>
      <c r="Z38" s="271">
        <f t="shared" si="26"/>
        <v>3796.051353509315</v>
      </c>
      <c r="AA38" s="271">
        <f t="shared" si="26"/>
        <v>3788.4592508022852</v>
      </c>
      <c r="AB38" s="271">
        <f t="shared" si="26"/>
        <v>3780.882332300695</v>
      </c>
      <c r="AC38" s="271">
        <f t="shared" si="26"/>
        <v>3773.3205676360672</v>
      </c>
      <c r="AD38" s="271">
        <f t="shared" si="26"/>
        <v>3765.7739265008045</v>
      </c>
      <c r="AE38" s="271">
        <f t="shared" si="26"/>
        <v>3758.2423786478089</v>
      </c>
      <c r="AF38" s="271">
        <f t="shared" si="26"/>
        <v>3750.7258938904997</v>
      </c>
      <c r="AG38" s="271">
        <f t="shared" si="26"/>
        <v>3743.2244421027158</v>
      </c>
      <c r="AH38" s="271">
        <f t="shared" ref="AH38:AL38" si="27">SUM(AH31:AH37)</f>
        <v>7471.4759864370617</v>
      </c>
      <c r="AI38" s="271">
        <f t="shared" si="27"/>
        <v>11184.79955169626</v>
      </c>
      <c r="AJ38" s="271">
        <f t="shared" si="27"/>
        <v>14883.239936790507</v>
      </c>
      <c r="AK38" s="271">
        <f t="shared" si="27"/>
        <v>18566.841821146147</v>
      </c>
      <c r="AL38" s="271">
        <f t="shared" si="27"/>
        <v>22235.649765004626</v>
      </c>
    </row>
    <row r="41" spans="2:38" x14ac:dyDescent="0.2">
      <c r="B41" s="276"/>
      <c r="C41" s="260"/>
      <c r="D41" s="260" t="s">
        <v>10</v>
      </c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0"/>
      <c r="Z41" s="260"/>
      <c r="AA41" s="260"/>
      <c r="AB41" s="260"/>
      <c r="AC41" s="260"/>
      <c r="AD41" s="260"/>
      <c r="AE41" s="260"/>
      <c r="AF41" s="260"/>
      <c r="AG41" s="260"/>
      <c r="AH41" s="260"/>
      <c r="AI41" s="260"/>
      <c r="AJ41" s="260"/>
      <c r="AK41" s="260"/>
      <c r="AL41" s="260"/>
    </row>
    <row r="42" spans="2:38" x14ac:dyDescent="0.2">
      <c r="B42" s="767" t="s">
        <v>439</v>
      </c>
      <c r="C42" s="261"/>
      <c r="D42" s="262">
        <v>1</v>
      </c>
      <c r="E42" s="262">
        <v>2</v>
      </c>
      <c r="F42" s="262">
        <v>3</v>
      </c>
      <c r="G42" s="262">
        <v>4</v>
      </c>
      <c r="H42" s="262">
        <v>5</v>
      </c>
      <c r="I42" s="262">
        <v>6</v>
      </c>
      <c r="J42" s="262">
        <v>7</v>
      </c>
      <c r="K42" s="262">
        <v>8</v>
      </c>
      <c r="L42" s="262">
        <v>9</v>
      </c>
      <c r="M42" s="262">
        <v>10</v>
      </c>
      <c r="N42" s="262">
        <v>11</v>
      </c>
      <c r="O42" s="262">
        <v>12</v>
      </c>
      <c r="P42" s="262">
        <v>13</v>
      </c>
      <c r="Q42" s="262">
        <v>14</v>
      </c>
      <c r="R42" s="262">
        <v>15</v>
      </c>
      <c r="S42" s="262">
        <v>16</v>
      </c>
      <c r="T42" s="262">
        <v>17</v>
      </c>
      <c r="U42" s="262">
        <v>18</v>
      </c>
      <c r="V42" s="262">
        <v>19</v>
      </c>
      <c r="W42" s="262">
        <v>20</v>
      </c>
      <c r="X42" s="262">
        <v>21</v>
      </c>
      <c r="Y42" s="262">
        <v>22</v>
      </c>
      <c r="Z42" s="262">
        <v>23</v>
      </c>
      <c r="AA42" s="262">
        <v>24</v>
      </c>
      <c r="AB42" s="262">
        <v>25</v>
      </c>
      <c r="AC42" s="262">
        <v>26</v>
      </c>
      <c r="AD42" s="262">
        <v>27</v>
      </c>
      <c r="AE42" s="262">
        <v>28</v>
      </c>
      <c r="AF42" s="262">
        <v>29</v>
      </c>
      <c r="AG42" s="262">
        <v>30</v>
      </c>
      <c r="AH42" s="262">
        <v>31</v>
      </c>
      <c r="AI42" s="262">
        <v>32</v>
      </c>
      <c r="AJ42" s="262">
        <v>33</v>
      </c>
      <c r="AK42" s="262">
        <v>34</v>
      </c>
      <c r="AL42" s="262">
        <v>35</v>
      </c>
    </row>
    <row r="43" spans="2:38" x14ac:dyDescent="0.2">
      <c r="B43" s="768"/>
      <c r="C43" s="264" t="s">
        <v>9</v>
      </c>
      <c r="D43" s="265">
        <f>D4</f>
        <v>2025</v>
      </c>
      <c r="E43" s="265">
        <f t="shared" ref="E43:AG43" si="28">E4</f>
        <v>2026</v>
      </c>
      <c r="F43" s="265">
        <f t="shared" si="28"/>
        <v>2027</v>
      </c>
      <c r="G43" s="265">
        <f t="shared" si="28"/>
        <v>2028</v>
      </c>
      <c r="H43" s="265">
        <f t="shared" si="28"/>
        <v>2029</v>
      </c>
      <c r="I43" s="265">
        <f t="shared" si="28"/>
        <v>2030</v>
      </c>
      <c r="J43" s="265">
        <f t="shared" si="28"/>
        <v>2031</v>
      </c>
      <c r="K43" s="265">
        <f t="shared" si="28"/>
        <v>2032</v>
      </c>
      <c r="L43" s="265">
        <f t="shared" si="28"/>
        <v>2033</v>
      </c>
      <c r="M43" s="265">
        <f t="shared" si="28"/>
        <v>2034</v>
      </c>
      <c r="N43" s="265">
        <f t="shared" si="28"/>
        <v>2035</v>
      </c>
      <c r="O43" s="265">
        <f t="shared" si="28"/>
        <v>2036</v>
      </c>
      <c r="P43" s="265">
        <f t="shared" si="28"/>
        <v>2037</v>
      </c>
      <c r="Q43" s="265">
        <f t="shared" si="28"/>
        <v>2038</v>
      </c>
      <c r="R43" s="265">
        <f t="shared" si="28"/>
        <v>2039</v>
      </c>
      <c r="S43" s="265">
        <f t="shared" si="28"/>
        <v>2040</v>
      </c>
      <c r="T43" s="265">
        <f t="shared" si="28"/>
        <v>2041</v>
      </c>
      <c r="U43" s="265">
        <f t="shared" si="28"/>
        <v>2042</v>
      </c>
      <c r="V43" s="265">
        <f t="shared" si="28"/>
        <v>2043</v>
      </c>
      <c r="W43" s="265">
        <f t="shared" si="28"/>
        <v>2044</v>
      </c>
      <c r="X43" s="265">
        <f t="shared" si="28"/>
        <v>2045</v>
      </c>
      <c r="Y43" s="265">
        <f t="shared" si="28"/>
        <v>2046</v>
      </c>
      <c r="Z43" s="265">
        <f t="shared" si="28"/>
        <v>2047</v>
      </c>
      <c r="AA43" s="265">
        <f t="shared" si="28"/>
        <v>2048</v>
      </c>
      <c r="AB43" s="265">
        <f t="shared" si="28"/>
        <v>2049</v>
      </c>
      <c r="AC43" s="265">
        <f t="shared" si="28"/>
        <v>2050</v>
      </c>
      <c r="AD43" s="265">
        <f t="shared" si="28"/>
        <v>2051</v>
      </c>
      <c r="AE43" s="265">
        <f t="shared" si="28"/>
        <v>2052</v>
      </c>
      <c r="AF43" s="265">
        <f t="shared" si="28"/>
        <v>2053</v>
      </c>
      <c r="AG43" s="265">
        <f t="shared" si="28"/>
        <v>2054</v>
      </c>
      <c r="AH43" s="265">
        <f t="shared" ref="AH43:AL43" si="29">AH4</f>
        <v>2055</v>
      </c>
      <c r="AI43" s="265">
        <f t="shared" si="29"/>
        <v>2056</v>
      </c>
      <c r="AJ43" s="265">
        <f t="shared" si="29"/>
        <v>2057</v>
      </c>
      <c r="AK43" s="265">
        <f t="shared" si="29"/>
        <v>2058</v>
      </c>
      <c r="AL43" s="265">
        <f t="shared" si="29"/>
        <v>2059</v>
      </c>
    </row>
    <row r="44" spans="2:38" x14ac:dyDescent="0.2">
      <c r="B44" s="31" t="s">
        <v>391</v>
      </c>
      <c r="C44" s="266">
        <f t="shared" ref="C44:C51" si="30">SUM(D44:AL44)</f>
        <v>0</v>
      </c>
      <c r="D44" s="266">
        <f>D31*Parametre!C$88</f>
        <v>0</v>
      </c>
      <c r="E44" s="266">
        <f>E31*Parametre!D$88</f>
        <v>0</v>
      </c>
      <c r="F44" s="266">
        <f>F31*Parametre!E$88</f>
        <v>0</v>
      </c>
      <c r="G44" s="266">
        <f>G31*Parametre!F$88</f>
        <v>0</v>
      </c>
      <c r="H44" s="266">
        <f>H31*Parametre!G$88</f>
        <v>0</v>
      </c>
      <c r="I44" s="266">
        <f>I31*Parametre!H$88</f>
        <v>0</v>
      </c>
      <c r="J44" s="266">
        <f>J31*Parametre!I$88</f>
        <v>0</v>
      </c>
      <c r="K44" s="266">
        <f>K31*Parametre!J$88</f>
        <v>0</v>
      </c>
      <c r="L44" s="266">
        <f>L31*Parametre!K$88</f>
        <v>0</v>
      </c>
      <c r="M44" s="266">
        <f>M31*Parametre!L$88</f>
        <v>0</v>
      </c>
      <c r="N44" s="266">
        <f>N31*Parametre!M$88</f>
        <v>0</v>
      </c>
      <c r="O44" s="266">
        <f>O31*Parametre!N$88</f>
        <v>0</v>
      </c>
      <c r="P44" s="266">
        <f>P31*Parametre!O$88</f>
        <v>0</v>
      </c>
      <c r="Q44" s="266">
        <f>Q31*Parametre!P$88</f>
        <v>0</v>
      </c>
      <c r="R44" s="266">
        <f>R31*Parametre!Q$88</f>
        <v>0</v>
      </c>
      <c r="S44" s="266">
        <f>S31*Parametre!R$88</f>
        <v>0</v>
      </c>
      <c r="T44" s="266">
        <f>T31*Parametre!S$88</f>
        <v>0</v>
      </c>
      <c r="U44" s="266">
        <f>U31*Parametre!T$88</f>
        <v>0</v>
      </c>
      <c r="V44" s="266">
        <f>V31*Parametre!U$88</f>
        <v>0</v>
      </c>
      <c r="W44" s="266">
        <f>W31*Parametre!V$88</f>
        <v>0</v>
      </c>
      <c r="X44" s="266">
        <f>X31*Parametre!W$88</f>
        <v>0</v>
      </c>
      <c r="Y44" s="266">
        <f>Y31*Parametre!X$88</f>
        <v>0</v>
      </c>
      <c r="Z44" s="266">
        <f>Z31*Parametre!Y$88</f>
        <v>0</v>
      </c>
      <c r="AA44" s="266">
        <f>AA31*Parametre!Z$88</f>
        <v>0</v>
      </c>
      <c r="AB44" s="266">
        <f>AB31*Parametre!AA$88</f>
        <v>0</v>
      </c>
      <c r="AC44" s="266">
        <f>AC31*Parametre!AB$88</f>
        <v>0</v>
      </c>
      <c r="AD44" s="266">
        <f>AD31*Parametre!AC$88</f>
        <v>0</v>
      </c>
      <c r="AE44" s="266">
        <f>AE31*Parametre!AD$88</f>
        <v>0</v>
      </c>
      <c r="AF44" s="266">
        <f>AF31*Parametre!AE$88</f>
        <v>0</v>
      </c>
      <c r="AG44" s="266">
        <f>AG31*Parametre!AF$88</f>
        <v>0</v>
      </c>
      <c r="AH44" s="266">
        <f>AH31*Parametre!AG$88</f>
        <v>0</v>
      </c>
      <c r="AI44" s="266">
        <f>AI31*Parametre!AH$88</f>
        <v>0</v>
      </c>
      <c r="AJ44" s="266">
        <f>AJ31*Parametre!AI$88</f>
        <v>0</v>
      </c>
      <c r="AK44" s="266">
        <f>AK31*Parametre!AJ$88</f>
        <v>0</v>
      </c>
      <c r="AL44" s="266">
        <f>AL31*Parametre!AK$88</f>
        <v>0</v>
      </c>
    </row>
    <row r="45" spans="2:38" x14ac:dyDescent="0.2">
      <c r="B45" s="31" t="s">
        <v>392</v>
      </c>
      <c r="C45" s="266">
        <f t="shared" si="30"/>
        <v>617169.74959520227</v>
      </c>
      <c r="D45" s="266">
        <f>D32*Parametre!C$89</f>
        <v>0</v>
      </c>
      <c r="E45" s="266">
        <f>E32*Parametre!D$89</f>
        <v>0</v>
      </c>
      <c r="F45" s="266">
        <f>F32*Parametre!E$89</f>
        <v>0</v>
      </c>
      <c r="G45" s="266">
        <f>G32*Parametre!F$89</f>
        <v>10600.751273167862</v>
      </c>
      <c r="H45" s="266">
        <f>H32*Parametre!G$89</f>
        <v>10745.381678135112</v>
      </c>
      <c r="I45" s="266">
        <f>I32*Parametre!H$89</f>
        <v>10899.873247077405</v>
      </c>
      <c r="J45" s="266">
        <f>J32*Parametre!I$89</f>
        <v>11039.025227614078</v>
      </c>
      <c r="K45" s="266">
        <f>K32*Parametre!J$89</f>
        <v>11180.368577922984</v>
      </c>
      <c r="L45" s="266">
        <f>L32*Parametre!K$89</f>
        <v>11314.04213402908</v>
      </c>
      <c r="M45" s="266">
        <f>M32*Parametre!L$89</f>
        <v>11449.907059907408</v>
      </c>
      <c r="N45" s="266">
        <f>N32*Parametre!M$89</f>
        <v>11586.867670671849</v>
      </c>
      <c r="O45" s="266">
        <f>O32*Parametre!N$89</f>
        <v>11726.019651208522</v>
      </c>
      <c r="P45" s="266">
        <f>P32*Parametre!O$89</f>
        <v>11866.267316631312</v>
      </c>
      <c r="Q45" s="266">
        <f>Q32*Parametre!P$89</f>
        <v>12008.706351826331</v>
      </c>
      <c r="R45" s="266">
        <f>R32*Parametre!Q$89</f>
        <v>12153.336756793584</v>
      </c>
      <c r="S45" s="266">
        <f>S32*Parametre!R$89</f>
        <v>12299.062846646952</v>
      </c>
      <c r="T45" s="266">
        <f>T32*Parametre!S$89</f>
        <v>12422.086345660055</v>
      </c>
      <c r="U45" s="266">
        <f>U32*Parametre!T$89</f>
        <v>12545.65986095492</v>
      </c>
      <c r="V45" s="266">
        <f>V32*Parametre!U$89</f>
        <v>12651.263411183354</v>
      </c>
      <c r="W45" s="266">
        <f>W32*Parametre!V$89</f>
        <v>12757.481310239706</v>
      </c>
      <c r="X45" s="266">
        <f>X32*Parametre!W$89</f>
        <v>12864.308504423268</v>
      </c>
      <c r="Y45" s="266">
        <f>Y32*Parametre!X$89</f>
        <v>12971.73996213833</v>
      </c>
      <c r="Z45" s="266">
        <f>Z32*Parametre!Y$89</f>
        <v>13080.85111084675</v>
      </c>
      <c r="AA45" s="266">
        <f>AA32*Parametre!Z$89</f>
        <v>13190.552204155538</v>
      </c>
      <c r="AB45" s="266">
        <f>AB32*Parametre!AA$89</f>
        <v>13300.83828928927</v>
      </c>
      <c r="AC45" s="266">
        <f>AC32*Parametre!AB$89</f>
        <v>13412.77840260061</v>
      </c>
      <c r="AD45" s="266">
        <f>AD32*Parametre!AC$89</f>
        <v>13525.28937153426</v>
      </c>
      <c r="AE45" s="266">
        <f>AE32*Parametre!AD$89</f>
        <v>13638.366321268746</v>
      </c>
      <c r="AF45" s="266">
        <f>AF32*Parametre!AE$89</f>
        <v>13741.329034101673</v>
      </c>
      <c r="AG45" s="266">
        <f>AG32*Parametre!AF$89</f>
        <v>13845.956145348693</v>
      </c>
      <c r="AH45" s="266">
        <f>AH32*Parametre!AG$89</f>
        <v>27902.346106795121</v>
      </c>
      <c r="AI45" s="266">
        <f>AI32*Parametre!AH$89</f>
        <v>42170.92456203379</v>
      </c>
      <c r="AJ45" s="266">
        <f>AJ32*Parametre!AI$89</f>
        <v>56653.426657854965</v>
      </c>
      <c r="AK45" s="266">
        <f>AK32*Parametre!AJ$89</f>
        <v>71351.5681173255</v>
      </c>
      <c r="AL45" s="266">
        <f>AL32*Parametre!AK$89</f>
        <v>86273.374085815274</v>
      </c>
    </row>
    <row r="46" spans="2:38" x14ac:dyDescent="0.2">
      <c r="B46" s="31" t="s">
        <v>393</v>
      </c>
      <c r="C46" s="266">
        <f t="shared" si="30"/>
        <v>0</v>
      </c>
      <c r="D46" s="266">
        <f>D33*Parametre!C$90</f>
        <v>0</v>
      </c>
      <c r="E46" s="266">
        <f>E33*Parametre!D$90</f>
        <v>0</v>
      </c>
      <c r="F46" s="266">
        <f>F33*Parametre!E$90</f>
        <v>0</v>
      </c>
      <c r="G46" s="266">
        <f>G33*Parametre!F$90</f>
        <v>0</v>
      </c>
      <c r="H46" s="266">
        <f>H33*Parametre!G$90</f>
        <v>0</v>
      </c>
      <c r="I46" s="266">
        <f>I33*Parametre!H$90</f>
        <v>0</v>
      </c>
      <c r="J46" s="266">
        <f>J33*Parametre!I$90</f>
        <v>0</v>
      </c>
      <c r="K46" s="266">
        <f>K33*Parametre!J$90</f>
        <v>0</v>
      </c>
      <c r="L46" s="266">
        <f>L33*Parametre!K$90</f>
        <v>0</v>
      </c>
      <c r="M46" s="266">
        <f>M33*Parametre!L$90</f>
        <v>0</v>
      </c>
      <c r="N46" s="266">
        <f>N33*Parametre!M$90</f>
        <v>0</v>
      </c>
      <c r="O46" s="266">
        <f>O33*Parametre!N$90</f>
        <v>0</v>
      </c>
      <c r="P46" s="266">
        <f>P33*Parametre!O$90</f>
        <v>0</v>
      </c>
      <c r="Q46" s="266">
        <f>Q33*Parametre!P$90</f>
        <v>0</v>
      </c>
      <c r="R46" s="266">
        <f>R33*Parametre!Q$90</f>
        <v>0</v>
      </c>
      <c r="S46" s="266">
        <f>S33*Parametre!R$90</f>
        <v>0</v>
      </c>
      <c r="T46" s="266">
        <f>T33*Parametre!S$90</f>
        <v>0</v>
      </c>
      <c r="U46" s="266">
        <f>U33*Parametre!T$90</f>
        <v>0</v>
      </c>
      <c r="V46" s="266">
        <f>V33*Parametre!U$90</f>
        <v>0</v>
      </c>
      <c r="W46" s="266">
        <f>W33*Parametre!V$90</f>
        <v>0</v>
      </c>
      <c r="X46" s="266">
        <f>X33*Parametre!W$90</f>
        <v>0</v>
      </c>
      <c r="Y46" s="266">
        <f>Y33*Parametre!X$90</f>
        <v>0</v>
      </c>
      <c r="Z46" s="266">
        <f>Z33*Parametre!Y$90</f>
        <v>0</v>
      </c>
      <c r="AA46" s="266">
        <f>AA33*Parametre!Z$90</f>
        <v>0</v>
      </c>
      <c r="AB46" s="266">
        <f>AB33*Parametre!AA$90</f>
        <v>0</v>
      </c>
      <c r="AC46" s="266">
        <f>AC33*Parametre!AB$90</f>
        <v>0</v>
      </c>
      <c r="AD46" s="266">
        <f>AD33*Parametre!AC$90</f>
        <v>0</v>
      </c>
      <c r="AE46" s="266">
        <f>AE33*Parametre!AD$90</f>
        <v>0</v>
      </c>
      <c r="AF46" s="266">
        <f>AF33*Parametre!AE$90</f>
        <v>0</v>
      </c>
      <c r="AG46" s="266">
        <f>AG33*Parametre!AF$90</f>
        <v>0</v>
      </c>
      <c r="AH46" s="266">
        <f>AH33*Parametre!AG$90</f>
        <v>0</v>
      </c>
      <c r="AI46" s="266">
        <f>AI33*Parametre!AH$90</f>
        <v>0</v>
      </c>
      <c r="AJ46" s="266">
        <f>AJ33*Parametre!AI$90</f>
        <v>0</v>
      </c>
      <c r="AK46" s="266">
        <f>AK33*Parametre!AJ$90</f>
        <v>0</v>
      </c>
      <c r="AL46" s="266">
        <f>AL33*Parametre!AK$90</f>
        <v>0</v>
      </c>
    </row>
    <row r="47" spans="2:38" x14ac:dyDescent="0.2">
      <c r="B47" s="31" t="s">
        <v>394</v>
      </c>
      <c r="C47" s="266">
        <f t="shared" si="30"/>
        <v>3180220.5827455441</v>
      </c>
      <c r="D47" s="266">
        <f>D34*Parametre!C$91</f>
        <v>0</v>
      </c>
      <c r="E47" s="266">
        <f>E34*Parametre!D$91</f>
        <v>0</v>
      </c>
      <c r="F47" s="266">
        <f>F34*Parametre!E$91</f>
        <v>0</v>
      </c>
      <c r="G47" s="266">
        <f>G34*Parametre!F$91</f>
        <v>54608.29001692107</v>
      </c>
      <c r="H47" s="266">
        <f>H34*Parametre!G$91</f>
        <v>55355.728246103325</v>
      </c>
      <c r="I47" s="266">
        <f>I34*Parametre!H$91</f>
        <v>56148.465761902669</v>
      </c>
      <c r="J47" s="266">
        <f>J34*Parametre!I$91</f>
        <v>56873.254347776361</v>
      </c>
      <c r="K47" s="266">
        <f>K34*Parametre!J$91</f>
        <v>57598.04293365006</v>
      </c>
      <c r="L47" s="266">
        <f>L34*Parametre!K$91</f>
        <v>58300.181876215196</v>
      </c>
      <c r="M47" s="266">
        <f>M34*Parametre!L$91</f>
        <v>59002.320818780339</v>
      </c>
      <c r="N47" s="266">
        <f>N34*Parametre!M$91</f>
        <v>59704.459761345475</v>
      </c>
      <c r="O47" s="266">
        <f>O34*Parametre!N$91</f>
        <v>60429.248347219174</v>
      </c>
      <c r="P47" s="266">
        <f>P34*Parametre!O$91</f>
        <v>61154.036933092866</v>
      </c>
      <c r="Q47" s="266">
        <f>Q34*Parametre!P$91</f>
        <v>61878.825518966558</v>
      </c>
      <c r="R47" s="266">
        <f>R34*Parametre!Q$91</f>
        <v>62626.263748148805</v>
      </c>
      <c r="S47" s="266">
        <f>S34*Parametre!R$91</f>
        <v>63373.701977331053</v>
      </c>
      <c r="T47" s="266">
        <f>T34*Parametre!S$91</f>
        <v>64015.502270122277</v>
      </c>
      <c r="U47" s="266">
        <f>U34*Parametre!T$91</f>
        <v>64654.481866934184</v>
      </c>
      <c r="V47" s="266">
        <f>V34*Parametre!U$91</f>
        <v>65200.593415097181</v>
      </c>
      <c r="W47" s="266">
        <f>W34*Parametre!V$91</f>
        <v>65744.261899139936</v>
      </c>
      <c r="X47" s="266">
        <f>X34*Parametre!W$91</f>
        <v>66285.494906873399</v>
      </c>
      <c r="Y47" s="266">
        <f>Y34*Parametre!X$91</f>
        <v>66846.67920847662</v>
      </c>
      <c r="Z47" s="266">
        <f>Z34*Parametre!Y$91</f>
        <v>67405.353630893864</v>
      </c>
      <c r="AA47" s="266">
        <f>AA34*Parametre!Z$91</f>
        <v>67961.52596890436</v>
      </c>
      <c r="AB47" s="266">
        <f>AB34*Parametre!AA$91</f>
        <v>68537.449192251443</v>
      </c>
      <c r="AC47" s="266">
        <f>AC34*Parametre!AB$91</f>
        <v>69110.796876600449</v>
      </c>
      <c r="AD47" s="266">
        <f>AD34*Parametre!AC$91</f>
        <v>69681.577020415993</v>
      </c>
      <c r="AE47" s="266">
        <f>AE34*Parametre!AD$91</f>
        <v>70271.909592159267</v>
      </c>
      <c r="AF47" s="266">
        <f>AF34*Parametre!AE$91</f>
        <v>70815.466571892888</v>
      </c>
      <c r="AG47" s="266">
        <f>AG34*Parametre!AF$91</f>
        <v>71356.568236069463</v>
      </c>
      <c r="AH47" s="266">
        <f>AH34*Parametre!AG$91</f>
        <v>143790.4444634472</v>
      </c>
      <c r="AI47" s="266">
        <f>AI34*Parametre!AH$91</f>
        <v>217294.30855536449</v>
      </c>
      <c r="AJ47" s="266">
        <f>AJ34*Parametre!AI$91</f>
        <v>291948.43782521243</v>
      </c>
      <c r="AK47" s="266">
        <f>AK34*Parametre!AJ$91</f>
        <v>367701.3515432757</v>
      </c>
      <c r="AL47" s="266">
        <f>AL34*Parametre!AK$91</f>
        <v>444545.55941496009</v>
      </c>
    </row>
    <row r="48" spans="2:38" x14ac:dyDescent="0.2">
      <c r="B48" s="31" t="s">
        <v>135</v>
      </c>
      <c r="C48" s="266">
        <f t="shared" si="30"/>
        <v>4103.672057547089</v>
      </c>
      <c r="D48" s="266">
        <f>D35*Parametre!C$92</f>
        <v>0</v>
      </c>
      <c r="E48" s="266">
        <f>E35*Parametre!D$92</f>
        <v>0</v>
      </c>
      <c r="F48" s="266">
        <f>F35*Parametre!E$92</f>
        <v>0</v>
      </c>
      <c r="G48" s="266">
        <f>G35*Parametre!F$92</f>
        <v>70.495138367975386</v>
      </c>
      <c r="H48" s="266">
        <f>H35*Parametre!G$92</f>
        <v>71.473646625346191</v>
      </c>
      <c r="I48" s="266">
        <f>I35*Parametre!H$92</f>
        <v>72.494698719993991</v>
      </c>
      <c r="J48" s="266">
        <f>J35*Parametre!I$92</f>
        <v>73.430663140087816</v>
      </c>
      <c r="K48" s="266">
        <f>K35*Parametre!J$92</f>
        <v>74.366627560181641</v>
      </c>
      <c r="L48" s="266">
        <f>L35*Parametre!K$92</f>
        <v>75.260048142998471</v>
      </c>
      <c r="M48" s="266">
        <f>M35*Parametre!L$92</f>
        <v>76.153468725815287</v>
      </c>
      <c r="N48" s="266">
        <f>N35*Parametre!M$92</f>
        <v>77.046889308632117</v>
      </c>
      <c r="O48" s="266">
        <f>O35*Parametre!N$92</f>
        <v>77.982853728725928</v>
      </c>
      <c r="P48" s="266">
        <f>P35*Parametre!O$92</f>
        <v>78.918818148819753</v>
      </c>
      <c r="Q48" s="266">
        <f>Q35*Parametre!P$92</f>
        <v>79.854782568913564</v>
      </c>
      <c r="R48" s="266">
        <f>R35*Parametre!Q$92</f>
        <v>80.833290826284383</v>
      </c>
      <c r="S48" s="266">
        <f>S35*Parametre!R$92</f>
        <v>81.811799083655202</v>
      </c>
      <c r="T48" s="266">
        <f>T35*Parametre!S$92</f>
        <v>82.624726726343994</v>
      </c>
      <c r="U48" s="266">
        <f>U35*Parametre!T$92</f>
        <v>83.434075411265525</v>
      </c>
      <c r="V48" s="266">
        <f>V35*Parametre!U$92</f>
        <v>84.112988949223507</v>
      </c>
      <c r="W48" s="266">
        <f>W35*Parametre!V$92</f>
        <v>84.83105760299803</v>
      </c>
      <c r="X48" s="266">
        <f>X35*Parametre!W$92</f>
        <v>85.545917530202289</v>
      </c>
      <c r="Y48" s="266">
        <f>Y35*Parametre!X$92</f>
        <v>86.257578693466783</v>
      </c>
      <c r="Z48" s="266">
        <f>Z35*Parametre!Y$92</f>
        <v>86.966051028408259</v>
      </c>
      <c r="AA48" s="266">
        <f>AA35*Parametre!Z$92</f>
        <v>87.713212325473208</v>
      </c>
      <c r="AB48" s="266">
        <f>AB35*Parametre!AA$92</f>
        <v>88.457037113145688</v>
      </c>
      <c r="AC48" s="266">
        <f>AC35*Parametre!AB$92</f>
        <v>89.197535748819107</v>
      </c>
      <c r="AD48" s="266">
        <f>AD35*Parametre!AC$92</f>
        <v>89.934718561799968</v>
      </c>
      <c r="AE48" s="266">
        <f>AE35*Parametre!AD$92</f>
        <v>90.668595853387657</v>
      </c>
      <c r="AF48" s="266">
        <f>AF35*Parametre!AE$92</f>
        <v>91.357727022603697</v>
      </c>
      <c r="AG48" s="266">
        <f>AG35*Parametre!AF$92</f>
        <v>92.043738992760169</v>
      </c>
      <c r="AH48" s="266">
        <f>AH35*Parametre!AG$92</f>
        <v>185.45328296825414</v>
      </c>
      <c r="AI48" s="266">
        <f>AI35*Parametre!AH$92</f>
        <v>280.34294057020674</v>
      </c>
      <c r="AJ48" s="266">
        <f>AJ35*Parametre!AI$92</f>
        <v>376.66158920515119</v>
      </c>
      <c r="AK48" s="266">
        <f>AK35*Parametre!AJ$92</f>
        <v>474.39951476737178</v>
      </c>
      <c r="AL48" s="266">
        <f>AL35*Parametre!AK$92</f>
        <v>573.54704352877684</v>
      </c>
    </row>
    <row r="49" spans="2:38" ht="11.65" customHeight="1" x14ac:dyDescent="0.2">
      <c r="B49" s="31" t="s">
        <v>132</v>
      </c>
      <c r="C49" s="266">
        <f t="shared" si="30"/>
        <v>89327.912614477478</v>
      </c>
      <c r="D49" s="266">
        <f>D36*Parametre!C$93</f>
        <v>0</v>
      </c>
      <c r="E49" s="266">
        <f>E36*Parametre!D$93</f>
        <v>0</v>
      </c>
      <c r="F49" s="266">
        <f>F36*Parametre!E$93</f>
        <v>0</v>
      </c>
      <c r="G49" s="266">
        <f>G36*Parametre!F$93</f>
        <v>1446.2929129371266</v>
      </c>
      <c r="H49" s="266">
        <f>H36*Parametre!G$93</f>
        <v>1471.0158687138296</v>
      </c>
      <c r="I49" s="266">
        <f>I36*Parametre!H$93</f>
        <v>1495.7388244905326</v>
      </c>
      <c r="J49" s="266">
        <f>J36*Parametre!I$93</f>
        <v>1520.4617802672358</v>
      </c>
      <c r="K49" s="266">
        <f>K36*Parametre!J$93</f>
        <v>1545.1847360439388</v>
      </c>
      <c r="L49" s="266">
        <f>L36*Parametre!K$93</f>
        <v>1569.9076918206417</v>
      </c>
      <c r="M49" s="266">
        <f>M36*Parametre!L$93</f>
        <v>1594.6306475973449</v>
      </c>
      <c r="N49" s="266">
        <f>N36*Parametre!M$93</f>
        <v>1619.3536033740479</v>
      </c>
      <c r="O49" s="266">
        <f>O36*Parametre!N$93</f>
        <v>1644.0765591507509</v>
      </c>
      <c r="P49" s="266">
        <f>P36*Parametre!O$93</f>
        <v>1668.7995149274539</v>
      </c>
      <c r="Q49" s="266">
        <f>Q36*Parametre!P$93</f>
        <v>1693.5224707041571</v>
      </c>
      <c r="R49" s="266">
        <f>R36*Parametre!Q$93</f>
        <v>1718.2454264808598</v>
      </c>
      <c r="S49" s="266">
        <f>S36*Parametre!R$93</f>
        <v>1742.9683822575628</v>
      </c>
      <c r="T49" s="266">
        <f>T36*Parametre!S$93</f>
        <v>1764.1559553582022</v>
      </c>
      <c r="U49" s="266">
        <f>U36*Parametre!T$93</f>
        <v>1785.2518062929128</v>
      </c>
      <c r="V49" s="266">
        <f>V36*Parametre!U$93</f>
        <v>1806.2562172000542</v>
      </c>
      <c r="W49" s="266">
        <f>W36*Parametre!V$93</f>
        <v>1827.1694694563382</v>
      </c>
      <c r="X49" s="266">
        <f>X36*Parametre!W$93</f>
        <v>1847.9918436787209</v>
      </c>
      <c r="Y49" s="266">
        <f>Y36*Parametre!X$93</f>
        <v>1868.7236197263535</v>
      </c>
      <c r="Z49" s="266">
        <f>Z36*Parametre!Y$93</f>
        <v>1889.3650767024178</v>
      </c>
      <c r="AA49" s="266">
        <f>AA36*Parametre!Z$93</f>
        <v>1909.9164929560907</v>
      </c>
      <c r="AB49" s="266">
        <f>AB36*Parametre!AA$93</f>
        <v>1930.37814608446</v>
      </c>
      <c r="AC49" s="266">
        <f>AC36*Parametre!AB$93</f>
        <v>1950.7503129343211</v>
      </c>
      <c r="AD49" s="266">
        <f>AD36*Parametre!AC$93</f>
        <v>1971.0332696042208</v>
      </c>
      <c r="AE49" s="266">
        <f>AE36*Parametre!AD$93</f>
        <v>1991.2272914461746</v>
      </c>
      <c r="AF49" s="266">
        <f>AF36*Parametre!AE$93</f>
        <v>2011.3326530676798</v>
      </c>
      <c r="AG49" s="266">
        <f>AG36*Parametre!AF$93</f>
        <v>2031.349628333538</v>
      </c>
      <c r="AH49" s="266">
        <f>AH36*Parametre!AG$93</f>
        <v>4102.5569807354623</v>
      </c>
      <c r="AI49" s="266">
        <f>AI36*Parametre!AH$93</f>
        <v>6213.3585346657837</v>
      </c>
      <c r="AJ49" s="266">
        <f>AJ36*Parametre!AI$93</f>
        <v>8363.4918541763509</v>
      </c>
      <c r="AK49" s="266">
        <f>AK36*Parametre!AJ$93</f>
        <v>10552.695586234537</v>
      </c>
      <c r="AL49" s="266">
        <f>AL36*Parametre!AK$93</f>
        <v>12780.709457058367</v>
      </c>
    </row>
    <row r="50" spans="2:38" x14ac:dyDescent="0.2">
      <c r="B50" s="31" t="s">
        <v>136</v>
      </c>
      <c r="C50" s="266">
        <f t="shared" si="30"/>
        <v>546882.20809511188</v>
      </c>
      <c r="D50" s="266">
        <f>D37*Parametre!C$94</f>
        <v>0</v>
      </c>
      <c r="E50" s="266">
        <f>E37*Parametre!D$94</f>
        <v>0</v>
      </c>
      <c r="F50" s="266">
        <f>F37*Parametre!E$94</f>
        <v>0</v>
      </c>
      <c r="G50" s="266">
        <f>G37*Parametre!F$94</f>
        <v>9394.5927415747301</v>
      </c>
      <c r="H50" s="266">
        <f>H37*Parametre!G$94</f>
        <v>9521.3246946212039</v>
      </c>
      <c r="I50" s="266">
        <f>I37*Parametre!H$94</f>
        <v>9657.4441997451959</v>
      </c>
      <c r="J50" s="266">
        <f>J37*Parametre!I$94</f>
        <v>9781.8292647722901</v>
      </c>
      <c r="K50" s="266">
        <f>K37*Parametre!J$94</f>
        <v>9906.2143297993844</v>
      </c>
      <c r="L50" s="266">
        <f>L37*Parametre!K$94</f>
        <v>10025.905618787721</v>
      </c>
      <c r="M50" s="266">
        <f>M37*Parametre!L$94</f>
        <v>10145.596907776058</v>
      </c>
      <c r="N50" s="266">
        <f>N37*Parametre!M$94</f>
        <v>10267.635084783775</v>
      </c>
      <c r="O50" s="266">
        <f>O37*Parametre!N$94</f>
        <v>10392.020149810869</v>
      </c>
      <c r="P50" s="266">
        <f>P37*Parametre!O$94</f>
        <v>10516.405214837963</v>
      </c>
      <c r="Q50" s="266">
        <f>Q37*Parametre!P$94</f>
        <v>10643.137167884437</v>
      </c>
      <c r="R50" s="266">
        <f>R37*Parametre!Q$94</f>
        <v>10769.869120930911</v>
      </c>
      <c r="S50" s="266">
        <f>S37*Parametre!R$94</f>
        <v>10898.947961996764</v>
      </c>
      <c r="T50" s="266">
        <f>T37*Parametre!S$94</f>
        <v>11008.312943699795</v>
      </c>
      <c r="U50" s="266">
        <f>U37*Parametre!T$94</f>
        <v>11117.196869684227</v>
      </c>
      <c r="V50" s="266">
        <f>V37*Parametre!U$94</f>
        <v>11209.271382866937</v>
      </c>
      <c r="W50" s="266">
        <f>W37*Parametre!V$94</f>
        <v>11303.261298374904</v>
      </c>
      <c r="X50" s="266">
        <f>X37*Parametre!W$94</f>
        <v>11396.830417135274</v>
      </c>
      <c r="Y50" s="266">
        <f>Y37*Parametre!X$94</f>
        <v>11492.298912176919</v>
      </c>
      <c r="Z50" s="266">
        <f>Z37*Parametre!Y$94</f>
        <v>11589.654173986599</v>
      </c>
      <c r="AA50" s="266">
        <f>AA37*Parametre!Z$94</f>
        <v>11686.574045553447</v>
      </c>
      <c r="AB50" s="266">
        <f>AB37*Parametre!AA$94</f>
        <v>11785.364859431811</v>
      </c>
      <c r="AC50" s="266">
        <f>AC37*Parametre!AB$94</f>
        <v>11883.713763758464</v>
      </c>
      <c r="AD50" s="266">
        <f>AD37*Parametre!AC$94</f>
        <v>11983.917900721106</v>
      </c>
      <c r="AE50" s="266">
        <f>AE37*Parametre!AD$94</f>
        <v>12083.673686280898</v>
      </c>
      <c r="AF50" s="266">
        <f>AF37*Parametre!AE$94</f>
        <v>12176.122725575839</v>
      </c>
      <c r="AG50" s="266">
        <f>AG37*Parametre!AF$94</f>
        <v>12268.153634018898</v>
      </c>
      <c r="AH50" s="266">
        <f>AH37*Parametre!AG$94</f>
        <v>24724.090345834567</v>
      </c>
      <c r="AI50" s="266">
        <f>AI37*Parametre!AH$94</f>
        <v>37366.53621913692</v>
      </c>
      <c r="AJ50" s="266">
        <f>AJ37*Parametre!AI$94</f>
        <v>50203.296060993518</v>
      </c>
      <c r="AK50" s="266">
        <f>AK37*Parametre!AJ$94</f>
        <v>63228.524438170163</v>
      </c>
      <c r="AL50" s="266">
        <f>AL37*Parametre!AK$94</f>
        <v>76454.491960390311</v>
      </c>
    </row>
    <row r="51" spans="2:38" x14ac:dyDescent="0.2">
      <c r="B51" s="277" t="s">
        <v>59</v>
      </c>
      <c r="C51" s="278">
        <f t="shared" si="30"/>
        <v>4437704.1251078825</v>
      </c>
      <c r="D51" s="279">
        <f>SUM(D44:D50)</f>
        <v>0</v>
      </c>
      <c r="E51" s="278">
        <f t="shared" ref="E51:AG51" si="31">SUM(E44:E50)</f>
        <v>0</v>
      </c>
      <c r="F51" s="278">
        <f t="shared" si="31"/>
        <v>0</v>
      </c>
      <c r="G51" s="278">
        <f t="shared" si="31"/>
        <v>76120.422082968769</v>
      </c>
      <c r="H51" s="278">
        <f t="shared" si="31"/>
        <v>77164.924134198824</v>
      </c>
      <c r="I51" s="278">
        <f t="shared" si="31"/>
        <v>78274.016731935801</v>
      </c>
      <c r="J51" s="278">
        <f t="shared" si="31"/>
        <v>79288.001283570033</v>
      </c>
      <c r="K51" s="278">
        <f t="shared" si="31"/>
        <v>80304.177204976557</v>
      </c>
      <c r="L51" s="278">
        <f t="shared" si="31"/>
        <v>81285.297368995642</v>
      </c>
      <c r="M51" s="278">
        <f t="shared" si="31"/>
        <v>82268.608902786946</v>
      </c>
      <c r="N51" s="278">
        <f t="shared" si="31"/>
        <v>83255.363009483786</v>
      </c>
      <c r="O51" s="278">
        <f t="shared" si="31"/>
        <v>84269.347561118033</v>
      </c>
      <c r="P51" s="278">
        <f t="shared" si="31"/>
        <v>85284.427797638404</v>
      </c>
      <c r="Q51" s="278">
        <f t="shared" si="31"/>
        <v>86304.046291950392</v>
      </c>
      <c r="R51" s="278">
        <f t="shared" si="31"/>
        <v>87348.548343180446</v>
      </c>
      <c r="S51" s="278">
        <f t="shared" si="31"/>
        <v>88396.492967315993</v>
      </c>
      <c r="T51" s="278">
        <f t="shared" si="31"/>
        <v>89292.682241566668</v>
      </c>
      <c r="U51" s="278">
        <f t="shared" si="31"/>
        <v>90186.024479277505</v>
      </c>
      <c r="V51" s="278">
        <f t="shared" si="31"/>
        <v>90951.497415296748</v>
      </c>
      <c r="W51" s="278">
        <f t="shared" si="31"/>
        <v>91717.005034813861</v>
      </c>
      <c r="X51" s="278">
        <f t="shared" si="31"/>
        <v>92480.171589640886</v>
      </c>
      <c r="Y51" s="278">
        <f t="shared" si="31"/>
        <v>93265.69928121168</v>
      </c>
      <c r="Z51" s="278">
        <f t="shared" si="31"/>
        <v>94052.190043458031</v>
      </c>
      <c r="AA51" s="278">
        <f t="shared" si="31"/>
        <v>94836.281923894916</v>
      </c>
      <c r="AB51" s="278">
        <f t="shared" si="31"/>
        <v>95642.487524170123</v>
      </c>
      <c r="AC51" s="278">
        <f t="shared" si="31"/>
        <v>96447.236891642679</v>
      </c>
      <c r="AD51" s="278">
        <f t="shared" si="31"/>
        <v>97251.752280837376</v>
      </c>
      <c r="AE51" s="278">
        <f t="shared" si="31"/>
        <v>98075.845487008482</v>
      </c>
      <c r="AF51" s="278">
        <f t="shared" si="31"/>
        <v>98835.608711660694</v>
      </c>
      <c r="AG51" s="278">
        <f t="shared" si="31"/>
        <v>99594.071382763359</v>
      </c>
      <c r="AH51" s="278">
        <f t="shared" ref="AH51:AL51" si="32">SUM(AH44:AH50)</f>
        <v>200704.89117978059</v>
      </c>
      <c r="AI51" s="278">
        <f t="shared" si="32"/>
        <v>303325.47081177117</v>
      </c>
      <c r="AJ51" s="278">
        <f t="shared" si="32"/>
        <v>407545.31398744241</v>
      </c>
      <c r="AK51" s="278">
        <f t="shared" si="32"/>
        <v>513308.53919977334</v>
      </c>
      <c r="AL51" s="278">
        <f t="shared" si="32"/>
        <v>620627.68196175282</v>
      </c>
    </row>
  </sheetData>
  <sheetProtection algorithmName="SHA-512" hashValue="OcMxfxLMAfDz1cqDgWmuEAfXaCNSjxid1eA6Hq+EDQ02K/V0VSkVRCZjeoE9Al12GXF8OPqPpB9ueryYL+fHJQ==" saltValue="V6dnDya4aWI1cjtzKPcQtQ==" spinCount="100000" sheet="1" objects="1" scenarios="1"/>
  <mergeCells count="1">
    <mergeCell ref="B42:B43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12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B2:AL72"/>
  <sheetViews>
    <sheetView zoomScale="90" zoomScaleNormal="90" workbookViewId="0"/>
  </sheetViews>
  <sheetFormatPr defaultColWidth="9.140625" defaultRowHeight="11.25" x14ac:dyDescent="0.2"/>
  <cols>
    <col min="1" max="1" width="3.7109375" style="30" customWidth="1"/>
    <col min="2" max="2" width="56.28515625" style="30" bestFit="1" customWidth="1"/>
    <col min="3" max="3" width="12.5703125" style="30" bestFit="1" customWidth="1"/>
    <col min="4" max="6" width="10.140625" style="30" bestFit="1" customWidth="1"/>
    <col min="7" max="38" width="10.5703125" style="30" bestFit="1" customWidth="1"/>
    <col min="39" max="16384" width="9.140625" style="30"/>
  </cols>
  <sheetData>
    <row r="2" spans="2:38" x14ac:dyDescent="0.2">
      <c r="B2" s="765" t="s">
        <v>440</v>
      </c>
      <c r="C2" s="31"/>
      <c r="D2" s="31" t="s">
        <v>10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</row>
    <row r="3" spans="2:38" x14ac:dyDescent="0.2">
      <c r="B3" s="769"/>
      <c r="C3" s="32"/>
      <c r="D3" s="33">
        <v>1</v>
      </c>
      <c r="E3" s="33">
        <v>2</v>
      </c>
      <c r="F3" s="33">
        <v>3</v>
      </c>
      <c r="G3" s="33">
        <v>4</v>
      </c>
      <c r="H3" s="33">
        <v>5</v>
      </c>
      <c r="I3" s="33">
        <v>6</v>
      </c>
      <c r="J3" s="33">
        <v>7</v>
      </c>
      <c r="K3" s="33">
        <v>8</v>
      </c>
      <c r="L3" s="33">
        <v>9</v>
      </c>
      <c r="M3" s="33">
        <v>10</v>
      </c>
      <c r="N3" s="33">
        <v>11</v>
      </c>
      <c r="O3" s="33">
        <v>12</v>
      </c>
      <c r="P3" s="33">
        <v>13</v>
      </c>
      <c r="Q3" s="33">
        <v>14</v>
      </c>
      <c r="R3" s="33">
        <v>15</v>
      </c>
      <c r="S3" s="33">
        <v>16</v>
      </c>
      <c r="T3" s="33">
        <v>17</v>
      </c>
      <c r="U3" s="33">
        <v>18</v>
      </c>
      <c r="V3" s="33">
        <v>19</v>
      </c>
      <c r="W3" s="33">
        <v>20</v>
      </c>
      <c r="X3" s="33">
        <v>21</v>
      </c>
      <c r="Y3" s="33">
        <v>22</v>
      </c>
      <c r="Z3" s="33">
        <v>23</v>
      </c>
      <c r="AA3" s="33">
        <v>24</v>
      </c>
      <c r="AB3" s="33">
        <v>25</v>
      </c>
      <c r="AC3" s="33">
        <v>26</v>
      </c>
      <c r="AD3" s="33">
        <v>27</v>
      </c>
      <c r="AE3" s="33">
        <v>28</v>
      </c>
      <c r="AF3" s="33">
        <v>29</v>
      </c>
      <c r="AG3" s="33">
        <v>30</v>
      </c>
      <c r="AH3" s="33">
        <v>31</v>
      </c>
      <c r="AI3" s="33">
        <v>32</v>
      </c>
      <c r="AJ3" s="33">
        <v>33</v>
      </c>
      <c r="AK3" s="33">
        <v>34</v>
      </c>
      <c r="AL3" s="33">
        <v>35</v>
      </c>
    </row>
    <row r="4" spans="2:38" x14ac:dyDescent="0.2">
      <c r="B4" s="34" t="s">
        <v>33</v>
      </c>
      <c r="C4" s="34" t="s">
        <v>9</v>
      </c>
      <c r="D4" s="35">
        <f>Parametre!C13</f>
        <v>2025</v>
      </c>
      <c r="E4" s="35">
        <f>$D$4+D3</f>
        <v>2026</v>
      </c>
      <c r="F4" s="35">
        <f>$D$4+E3</f>
        <v>2027</v>
      </c>
      <c r="G4" s="35">
        <f t="shared" ref="G4:AG4" si="0">$D$4+F3</f>
        <v>2028</v>
      </c>
      <c r="H4" s="35">
        <f t="shared" si="0"/>
        <v>2029</v>
      </c>
      <c r="I4" s="35">
        <f t="shared" si="0"/>
        <v>2030</v>
      </c>
      <c r="J4" s="35">
        <f t="shared" si="0"/>
        <v>2031</v>
      </c>
      <c r="K4" s="35">
        <f t="shared" si="0"/>
        <v>2032</v>
      </c>
      <c r="L4" s="35">
        <f t="shared" si="0"/>
        <v>2033</v>
      </c>
      <c r="M4" s="35">
        <f t="shared" si="0"/>
        <v>2034</v>
      </c>
      <c r="N4" s="35">
        <f t="shared" si="0"/>
        <v>2035</v>
      </c>
      <c r="O4" s="35">
        <f t="shared" si="0"/>
        <v>2036</v>
      </c>
      <c r="P4" s="35">
        <f t="shared" si="0"/>
        <v>2037</v>
      </c>
      <c r="Q4" s="35">
        <f t="shared" si="0"/>
        <v>2038</v>
      </c>
      <c r="R4" s="35">
        <f t="shared" si="0"/>
        <v>2039</v>
      </c>
      <c r="S4" s="35">
        <f t="shared" si="0"/>
        <v>2040</v>
      </c>
      <c r="T4" s="35">
        <f t="shared" si="0"/>
        <v>2041</v>
      </c>
      <c r="U4" s="35">
        <f t="shared" si="0"/>
        <v>2042</v>
      </c>
      <c r="V4" s="35">
        <f t="shared" si="0"/>
        <v>2043</v>
      </c>
      <c r="W4" s="35">
        <f t="shared" si="0"/>
        <v>2044</v>
      </c>
      <c r="X4" s="35">
        <f t="shared" si="0"/>
        <v>2045</v>
      </c>
      <c r="Y4" s="35">
        <f t="shared" si="0"/>
        <v>2046</v>
      </c>
      <c r="Z4" s="35">
        <f t="shared" si="0"/>
        <v>2047</v>
      </c>
      <c r="AA4" s="35">
        <f t="shared" si="0"/>
        <v>2048</v>
      </c>
      <c r="AB4" s="35">
        <f t="shared" si="0"/>
        <v>2049</v>
      </c>
      <c r="AC4" s="35">
        <f t="shared" si="0"/>
        <v>2050</v>
      </c>
      <c r="AD4" s="35">
        <f t="shared" si="0"/>
        <v>2051</v>
      </c>
      <c r="AE4" s="35">
        <f t="shared" si="0"/>
        <v>2052</v>
      </c>
      <c r="AF4" s="35">
        <f t="shared" si="0"/>
        <v>2053</v>
      </c>
      <c r="AG4" s="35">
        <f t="shared" si="0"/>
        <v>2054</v>
      </c>
      <c r="AH4" s="35">
        <f t="shared" ref="AH4" si="1">$D$4+AG3</f>
        <v>2055</v>
      </c>
      <c r="AI4" s="35">
        <f t="shared" ref="AI4" si="2">$D$4+AH3</f>
        <v>2056</v>
      </c>
      <c r="AJ4" s="35">
        <f t="shared" ref="AJ4" si="3">$D$4+AI3</f>
        <v>2057</v>
      </c>
      <c r="AK4" s="35">
        <f t="shared" ref="AK4" si="4">$D$4+AJ3</f>
        <v>2058</v>
      </c>
      <c r="AL4" s="35">
        <f t="shared" ref="AL4" si="5">$D$4+AK3</f>
        <v>2059</v>
      </c>
    </row>
    <row r="5" spans="2:38" x14ac:dyDescent="0.2">
      <c r="B5" s="31" t="s">
        <v>149</v>
      </c>
      <c r="C5" s="37">
        <f>SUM(D5:AL5)</f>
        <v>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</row>
    <row r="6" spans="2:38" x14ac:dyDescent="0.2">
      <c r="B6" s="31" t="s">
        <v>150</v>
      </c>
      <c r="C6" s="37">
        <f>SUM(D6:AL6)</f>
        <v>0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</row>
    <row r="7" spans="2:38" x14ac:dyDescent="0.2">
      <c r="B7" s="31" t="s">
        <v>151</v>
      </c>
      <c r="C7" s="37">
        <f>SUM(D7:AL7)</f>
        <v>0</v>
      </c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</row>
    <row r="8" spans="2:38" x14ac:dyDescent="0.2">
      <c r="B8" s="32" t="s">
        <v>9</v>
      </c>
      <c r="C8" s="123">
        <f>SUM(D8:AL8)</f>
        <v>0</v>
      </c>
      <c r="D8" s="123">
        <f t="shared" ref="D8:AG8" si="6">SUM(D5:D7)</f>
        <v>0</v>
      </c>
      <c r="E8" s="123">
        <f t="shared" si="6"/>
        <v>0</v>
      </c>
      <c r="F8" s="123">
        <f t="shared" si="6"/>
        <v>0</v>
      </c>
      <c r="G8" s="123">
        <f t="shared" si="6"/>
        <v>0</v>
      </c>
      <c r="H8" s="123">
        <f t="shared" si="6"/>
        <v>0</v>
      </c>
      <c r="I8" s="123">
        <f t="shared" si="6"/>
        <v>0</v>
      </c>
      <c r="J8" s="123">
        <f t="shared" si="6"/>
        <v>0</v>
      </c>
      <c r="K8" s="123">
        <f t="shared" si="6"/>
        <v>0</v>
      </c>
      <c r="L8" s="123">
        <f t="shared" si="6"/>
        <v>0</v>
      </c>
      <c r="M8" s="123">
        <f t="shared" si="6"/>
        <v>0</v>
      </c>
      <c r="N8" s="123">
        <f t="shared" si="6"/>
        <v>0</v>
      </c>
      <c r="O8" s="123">
        <f t="shared" si="6"/>
        <v>0</v>
      </c>
      <c r="P8" s="123">
        <f t="shared" si="6"/>
        <v>0</v>
      </c>
      <c r="Q8" s="123">
        <f t="shared" si="6"/>
        <v>0</v>
      </c>
      <c r="R8" s="123">
        <f t="shared" si="6"/>
        <v>0</v>
      </c>
      <c r="S8" s="123">
        <f t="shared" si="6"/>
        <v>0</v>
      </c>
      <c r="T8" s="123">
        <f t="shared" si="6"/>
        <v>0</v>
      </c>
      <c r="U8" s="123">
        <f t="shared" si="6"/>
        <v>0</v>
      </c>
      <c r="V8" s="123">
        <f t="shared" si="6"/>
        <v>0</v>
      </c>
      <c r="W8" s="123">
        <f t="shared" si="6"/>
        <v>0</v>
      </c>
      <c r="X8" s="123">
        <f t="shared" si="6"/>
        <v>0</v>
      </c>
      <c r="Y8" s="123">
        <f t="shared" si="6"/>
        <v>0</v>
      </c>
      <c r="Z8" s="123">
        <f t="shared" si="6"/>
        <v>0</v>
      </c>
      <c r="AA8" s="123">
        <f t="shared" si="6"/>
        <v>0</v>
      </c>
      <c r="AB8" s="123">
        <f t="shared" si="6"/>
        <v>0</v>
      </c>
      <c r="AC8" s="123">
        <f t="shared" si="6"/>
        <v>0</v>
      </c>
      <c r="AD8" s="123">
        <f t="shared" si="6"/>
        <v>0</v>
      </c>
      <c r="AE8" s="123">
        <f t="shared" si="6"/>
        <v>0</v>
      </c>
      <c r="AF8" s="123">
        <f t="shared" si="6"/>
        <v>0</v>
      </c>
      <c r="AG8" s="123">
        <f t="shared" si="6"/>
        <v>0</v>
      </c>
      <c r="AH8" s="123">
        <f t="shared" ref="AH8:AL8" si="7">SUM(AH5:AH7)</f>
        <v>0</v>
      </c>
      <c r="AI8" s="123">
        <f t="shared" si="7"/>
        <v>0</v>
      </c>
      <c r="AJ8" s="123">
        <f t="shared" si="7"/>
        <v>0</v>
      </c>
      <c r="AK8" s="123">
        <f t="shared" si="7"/>
        <v>0</v>
      </c>
      <c r="AL8" s="123">
        <f t="shared" si="7"/>
        <v>0</v>
      </c>
    </row>
    <row r="11" spans="2:38" x14ac:dyDescent="0.2">
      <c r="B11" s="765" t="s">
        <v>441</v>
      </c>
      <c r="C11" s="31"/>
      <c r="D11" s="31" t="s">
        <v>10</v>
      </c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2:38" x14ac:dyDescent="0.2">
      <c r="B12" s="769"/>
      <c r="C12" s="32"/>
      <c r="D12" s="33">
        <v>1</v>
      </c>
      <c r="E12" s="33">
        <v>2</v>
      </c>
      <c r="F12" s="33">
        <v>3</v>
      </c>
      <c r="G12" s="33">
        <v>4</v>
      </c>
      <c r="H12" s="33">
        <v>5</v>
      </c>
      <c r="I12" s="33">
        <v>6</v>
      </c>
      <c r="J12" s="33">
        <v>7</v>
      </c>
      <c r="K12" s="33">
        <v>8</v>
      </c>
      <c r="L12" s="33">
        <v>9</v>
      </c>
      <c r="M12" s="33">
        <v>10</v>
      </c>
      <c r="N12" s="33">
        <v>11</v>
      </c>
      <c r="O12" s="33">
        <v>12</v>
      </c>
      <c r="P12" s="33">
        <v>13</v>
      </c>
      <c r="Q12" s="33">
        <v>14</v>
      </c>
      <c r="R12" s="33">
        <v>15</v>
      </c>
      <c r="S12" s="33">
        <v>16</v>
      </c>
      <c r="T12" s="33">
        <v>17</v>
      </c>
      <c r="U12" s="33">
        <v>18</v>
      </c>
      <c r="V12" s="33">
        <v>19</v>
      </c>
      <c r="W12" s="33">
        <v>20</v>
      </c>
      <c r="X12" s="33">
        <v>21</v>
      </c>
      <c r="Y12" s="33">
        <v>22</v>
      </c>
      <c r="Z12" s="33">
        <v>23</v>
      </c>
      <c r="AA12" s="33">
        <v>24</v>
      </c>
      <c r="AB12" s="33">
        <v>25</v>
      </c>
      <c r="AC12" s="33">
        <v>26</v>
      </c>
      <c r="AD12" s="33">
        <v>27</v>
      </c>
      <c r="AE12" s="33">
        <v>28</v>
      </c>
      <c r="AF12" s="33">
        <v>29</v>
      </c>
      <c r="AG12" s="33">
        <v>30</v>
      </c>
      <c r="AH12" s="33">
        <v>31</v>
      </c>
      <c r="AI12" s="33">
        <v>32</v>
      </c>
      <c r="AJ12" s="33">
        <v>33</v>
      </c>
      <c r="AK12" s="33">
        <v>34</v>
      </c>
      <c r="AL12" s="33">
        <v>35</v>
      </c>
    </row>
    <row r="13" spans="2:38" x14ac:dyDescent="0.2">
      <c r="B13" s="34" t="s">
        <v>34</v>
      </c>
      <c r="C13" s="34" t="s">
        <v>9</v>
      </c>
      <c r="D13" s="35">
        <f>D4</f>
        <v>2025</v>
      </c>
      <c r="E13" s="35">
        <f t="shared" ref="E13:AG13" si="8">E4</f>
        <v>2026</v>
      </c>
      <c r="F13" s="35">
        <f t="shared" si="8"/>
        <v>2027</v>
      </c>
      <c r="G13" s="35">
        <f t="shared" si="8"/>
        <v>2028</v>
      </c>
      <c r="H13" s="35">
        <f t="shared" si="8"/>
        <v>2029</v>
      </c>
      <c r="I13" s="35">
        <f t="shared" si="8"/>
        <v>2030</v>
      </c>
      <c r="J13" s="35">
        <f t="shared" si="8"/>
        <v>2031</v>
      </c>
      <c r="K13" s="35">
        <f t="shared" si="8"/>
        <v>2032</v>
      </c>
      <c r="L13" s="35">
        <f t="shared" si="8"/>
        <v>2033</v>
      </c>
      <c r="M13" s="35">
        <f t="shared" si="8"/>
        <v>2034</v>
      </c>
      <c r="N13" s="35">
        <f t="shared" si="8"/>
        <v>2035</v>
      </c>
      <c r="O13" s="35">
        <f t="shared" si="8"/>
        <v>2036</v>
      </c>
      <c r="P13" s="35">
        <f t="shared" si="8"/>
        <v>2037</v>
      </c>
      <c r="Q13" s="35">
        <f t="shared" si="8"/>
        <v>2038</v>
      </c>
      <c r="R13" s="35">
        <f t="shared" si="8"/>
        <v>2039</v>
      </c>
      <c r="S13" s="35">
        <f t="shared" si="8"/>
        <v>2040</v>
      </c>
      <c r="T13" s="35">
        <f t="shared" si="8"/>
        <v>2041</v>
      </c>
      <c r="U13" s="35">
        <f t="shared" si="8"/>
        <v>2042</v>
      </c>
      <c r="V13" s="35">
        <f t="shared" si="8"/>
        <v>2043</v>
      </c>
      <c r="W13" s="35">
        <f t="shared" si="8"/>
        <v>2044</v>
      </c>
      <c r="X13" s="35">
        <f t="shared" si="8"/>
        <v>2045</v>
      </c>
      <c r="Y13" s="35">
        <f t="shared" si="8"/>
        <v>2046</v>
      </c>
      <c r="Z13" s="35">
        <f t="shared" si="8"/>
        <v>2047</v>
      </c>
      <c r="AA13" s="35">
        <f t="shared" si="8"/>
        <v>2048</v>
      </c>
      <c r="AB13" s="35">
        <f t="shared" si="8"/>
        <v>2049</v>
      </c>
      <c r="AC13" s="35">
        <f t="shared" si="8"/>
        <v>2050</v>
      </c>
      <c r="AD13" s="35">
        <f t="shared" si="8"/>
        <v>2051</v>
      </c>
      <c r="AE13" s="35">
        <f t="shared" si="8"/>
        <v>2052</v>
      </c>
      <c r="AF13" s="35">
        <f t="shared" si="8"/>
        <v>2053</v>
      </c>
      <c r="AG13" s="35">
        <f t="shared" si="8"/>
        <v>2054</v>
      </c>
      <c r="AH13" s="35">
        <f t="shared" ref="AH13:AL13" si="9">AH4</f>
        <v>2055</v>
      </c>
      <c r="AI13" s="35">
        <f t="shared" si="9"/>
        <v>2056</v>
      </c>
      <c r="AJ13" s="35">
        <f t="shared" si="9"/>
        <v>2057</v>
      </c>
      <c r="AK13" s="35">
        <f t="shared" si="9"/>
        <v>2058</v>
      </c>
      <c r="AL13" s="35">
        <f t="shared" si="9"/>
        <v>2059</v>
      </c>
    </row>
    <row r="14" spans="2:38" x14ac:dyDescent="0.2">
      <c r="B14" s="31" t="s">
        <v>149</v>
      </c>
      <c r="C14" s="37">
        <f>SUM(D14:AL14)</f>
        <v>0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</row>
    <row r="15" spans="2:38" x14ac:dyDescent="0.2">
      <c r="B15" s="31" t="s">
        <v>150</v>
      </c>
      <c r="C15" s="37">
        <f>SUM(D15:AL15)</f>
        <v>0</v>
      </c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</row>
    <row r="16" spans="2:38" x14ac:dyDescent="0.2">
      <c r="B16" s="31" t="s">
        <v>151</v>
      </c>
      <c r="C16" s="37">
        <f>SUM(D16:AL16)</f>
        <v>0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</row>
    <row r="17" spans="2:38" x14ac:dyDescent="0.2">
      <c r="B17" s="32" t="s">
        <v>35</v>
      </c>
      <c r="C17" s="123">
        <f>SUM(D17:AL17)</f>
        <v>0</v>
      </c>
      <c r="D17" s="123">
        <f t="shared" ref="D17:AG17" si="10">SUM(D14:D16)</f>
        <v>0</v>
      </c>
      <c r="E17" s="123">
        <f t="shared" si="10"/>
        <v>0</v>
      </c>
      <c r="F17" s="123">
        <f t="shared" si="10"/>
        <v>0</v>
      </c>
      <c r="G17" s="123">
        <f t="shared" si="10"/>
        <v>0</v>
      </c>
      <c r="H17" s="123">
        <f t="shared" si="10"/>
        <v>0</v>
      </c>
      <c r="I17" s="123">
        <f t="shared" si="10"/>
        <v>0</v>
      </c>
      <c r="J17" s="123">
        <f t="shared" si="10"/>
        <v>0</v>
      </c>
      <c r="K17" s="123">
        <f t="shared" si="10"/>
        <v>0</v>
      </c>
      <c r="L17" s="123">
        <f t="shared" si="10"/>
        <v>0</v>
      </c>
      <c r="M17" s="123">
        <f t="shared" si="10"/>
        <v>0</v>
      </c>
      <c r="N17" s="123">
        <f t="shared" si="10"/>
        <v>0</v>
      </c>
      <c r="O17" s="123">
        <f t="shared" si="10"/>
        <v>0</v>
      </c>
      <c r="P17" s="123">
        <f t="shared" si="10"/>
        <v>0</v>
      </c>
      <c r="Q17" s="123">
        <f t="shared" si="10"/>
        <v>0</v>
      </c>
      <c r="R17" s="123">
        <f t="shared" si="10"/>
        <v>0</v>
      </c>
      <c r="S17" s="123">
        <f t="shared" si="10"/>
        <v>0</v>
      </c>
      <c r="T17" s="123">
        <f t="shared" si="10"/>
        <v>0</v>
      </c>
      <c r="U17" s="123">
        <f t="shared" si="10"/>
        <v>0</v>
      </c>
      <c r="V17" s="123">
        <f t="shared" si="10"/>
        <v>0</v>
      </c>
      <c r="W17" s="123">
        <f t="shared" si="10"/>
        <v>0</v>
      </c>
      <c r="X17" s="123">
        <f t="shared" si="10"/>
        <v>0</v>
      </c>
      <c r="Y17" s="123">
        <f t="shared" si="10"/>
        <v>0</v>
      </c>
      <c r="Z17" s="123">
        <f t="shared" si="10"/>
        <v>0</v>
      </c>
      <c r="AA17" s="123">
        <f t="shared" si="10"/>
        <v>0</v>
      </c>
      <c r="AB17" s="123">
        <f t="shared" si="10"/>
        <v>0</v>
      </c>
      <c r="AC17" s="123">
        <f t="shared" si="10"/>
        <v>0</v>
      </c>
      <c r="AD17" s="123">
        <f t="shared" si="10"/>
        <v>0</v>
      </c>
      <c r="AE17" s="123">
        <f t="shared" si="10"/>
        <v>0</v>
      </c>
      <c r="AF17" s="123">
        <f t="shared" si="10"/>
        <v>0</v>
      </c>
      <c r="AG17" s="123">
        <f t="shared" si="10"/>
        <v>0</v>
      </c>
      <c r="AH17" s="123">
        <f t="shared" ref="AH17:AL17" si="11">SUM(AH14:AH16)</f>
        <v>0</v>
      </c>
      <c r="AI17" s="123">
        <f t="shared" si="11"/>
        <v>0</v>
      </c>
      <c r="AJ17" s="123">
        <f t="shared" si="11"/>
        <v>0</v>
      </c>
      <c r="AK17" s="123">
        <f t="shared" si="11"/>
        <v>0</v>
      </c>
      <c r="AL17" s="123">
        <f t="shared" si="11"/>
        <v>0</v>
      </c>
    </row>
    <row r="20" spans="2:38" x14ac:dyDescent="0.2">
      <c r="B20" s="765" t="s">
        <v>442</v>
      </c>
      <c r="C20" s="31"/>
      <c r="D20" s="31" t="s">
        <v>10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</row>
    <row r="21" spans="2:38" x14ac:dyDescent="0.2">
      <c r="B21" s="769"/>
      <c r="C21" s="32"/>
      <c r="D21" s="33">
        <v>1</v>
      </c>
      <c r="E21" s="33">
        <v>2</v>
      </c>
      <c r="F21" s="33">
        <v>3</v>
      </c>
      <c r="G21" s="33">
        <v>4</v>
      </c>
      <c r="H21" s="33">
        <v>5</v>
      </c>
      <c r="I21" s="33">
        <v>6</v>
      </c>
      <c r="J21" s="33">
        <v>7</v>
      </c>
      <c r="K21" s="33">
        <v>8</v>
      </c>
      <c r="L21" s="33">
        <v>9</v>
      </c>
      <c r="M21" s="33">
        <v>10</v>
      </c>
      <c r="N21" s="33">
        <v>11</v>
      </c>
      <c r="O21" s="33">
        <v>12</v>
      </c>
      <c r="P21" s="33">
        <v>13</v>
      </c>
      <c r="Q21" s="33">
        <v>14</v>
      </c>
      <c r="R21" s="33">
        <v>15</v>
      </c>
      <c r="S21" s="33">
        <v>16</v>
      </c>
      <c r="T21" s="33">
        <v>17</v>
      </c>
      <c r="U21" s="33">
        <v>18</v>
      </c>
      <c r="V21" s="33">
        <v>19</v>
      </c>
      <c r="W21" s="33">
        <v>20</v>
      </c>
      <c r="X21" s="33">
        <v>21</v>
      </c>
      <c r="Y21" s="33">
        <v>22</v>
      </c>
      <c r="Z21" s="33">
        <v>23</v>
      </c>
      <c r="AA21" s="33">
        <v>24</v>
      </c>
      <c r="AB21" s="33">
        <v>25</v>
      </c>
      <c r="AC21" s="33">
        <v>26</v>
      </c>
      <c r="AD21" s="33">
        <v>27</v>
      </c>
      <c r="AE21" s="33">
        <v>28</v>
      </c>
      <c r="AF21" s="33">
        <v>29</v>
      </c>
      <c r="AG21" s="33">
        <v>30</v>
      </c>
      <c r="AH21" s="33">
        <v>31</v>
      </c>
      <c r="AI21" s="33">
        <v>32</v>
      </c>
      <c r="AJ21" s="33">
        <v>33</v>
      </c>
      <c r="AK21" s="33">
        <v>34</v>
      </c>
      <c r="AL21" s="33">
        <v>35</v>
      </c>
    </row>
    <row r="22" spans="2:38" x14ac:dyDescent="0.2">
      <c r="B22" s="34" t="s">
        <v>63</v>
      </c>
      <c r="C22" s="34" t="s">
        <v>9</v>
      </c>
      <c r="D22" s="35">
        <f>D4</f>
        <v>2025</v>
      </c>
      <c r="E22" s="35">
        <f t="shared" ref="E22:AG22" si="12">E4</f>
        <v>2026</v>
      </c>
      <c r="F22" s="35">
        <f t="shared" si="12"/>
        <v>2027</v>
      </c>
      <c r="G22" s="35">
        <f t="shared" si="12"/>
        <v>2028</v>
      </c>
      <c r="H22" s="35">
        <f t="shared" si="12"/>
        <v>2029</v>
      </c>
      <c r="I22" s="35">
        <f t="shared" si="12"/>
        <v>2030</v>
      </c>
      <c r="J22" s="35">
        <f t="shared" si="12"/>
        <v>2031</v>
      </c>
      <c r="K22" s="35">
        <f t="shared" si="12"/>
        <v>2032</v>
      </c>
      <c r="L22" s="35">
        <f t="shared" si="12"/>
        <v>2033</v>
      </c>
      <c r="M22" s="35">
        <f t="shared" si="12"/>
        <v>2034</v>
      </c>
      <c r="N22" s="35">
        <f t="shared" si="12"/>
        <v>2035</v>
      </c>
      <c r="O22" s="35">
        <f t="shared" si="12"/>
        <v>2036</v>
      </c>
      <c r="P22" s="35">
        <f t="shared" si="12"/>
        <v>2037</v>
      </c>
      <c r="Q22" s="35">
        <f t="shared" si="12"/>
        <v>2038</v>
      </c>
      <c r="R22" s="35">
        <f t="shared" si="12"/>
        <v>2039</v>
      </c>
      <c r="S22" s="35">
        <f t="shared" si="12"/>
        <v>2040</v>
      </c>
      <c r="T22" s="35">
        <f t="shared" si="12"/>
        <v>2041</v>
      </c>
      <c r="U22" s="35">
        <f t="shared" si="12"/>
        <v>2042</v>
      </c>
      <c r="V22" s="35">
        <f t="shared" si="12"/>
        <v>2043</v>
      </c>
      <c r="W22" s="35">
        <f t="shared" si="12"/>
        <v>2044</v>
      </c>
      <c r="X22" s="35">
        <f t="shared" si="12"/>
        <v>2045</v>
      </c>
      <c r="Y22" s="35">
        <f t="shared" si="12"/>
        <v>2046</v>
      </c>
      <c r="Z22" s="35">
        <f t="shared" si="12"/>
        <v>2047</v>
      </c>
      <c r="AA22" s="35">
        <f t="shared" si="12"/>
        <v>2048</v>
      </c>
      <c r="AB22" s="35">
        <f t="shared" si="12"/>
        <v>2049</v>
      </c>
      <c r="AC22" s="35">
        <f t="shared" si="12"/>
        <v>2050</v>
      </c>
      <c r="AD22" s="35">
        <f t="shared" si="12"/>
        <v>2051</v>
      </c>
      <c r="AE22" s="35">
        <f t="shared" si="12"/>
        <v>2052</v>
      </c>
      <c r="AF22" s="35">
        <f t="shared" si="12"/>
        <v>2053</v>
      </c>
      <c r="AG22" s="35">
        <f t="shared" si="12"/>
        <v>2054</v>
      </c>
      <c r="AH22" s="35">
        <f t="shared" ref="AH22:AL22" si="13">AH4</f>
        <v>2055</v>
      </c>
      <c r="AI22" s="35">
        <f t="shared" si="13"/>
        <v>2056</v>
      </c>
      <c r="AJ22" s="35">
        <f t="shared" si="13"/>
        <v>2057</v>
      </c>
      <c r="AK22" s="35">
        <f t="shared" si="13"/>
        <v>2058</v>
      </c>
      <c r="AL22" s="35">
        <f t="shared" si="13"/>
        <v>2059</v>
      </c>
    </row>
    <row r="23" spans="2:38" x14ac:dyDescent="0.2">
      <c r="B23" s="31" t="s">
        <v>149</v>
      </c>
      <c r="C23" s="37">
        <f>SUM(D23:AL23)</f>
        <v>0</v>
      </c>
      <c r="D23" s="37">
        <f t="shared" ref="D23:AG23" si="14">D5-D14</f>
        <v>0</v>
      </c>
      <c r="E23" s="37">
        <f t="shared" si="14"/>
        <v>0</v>
      </c>
      <c r="F23" s="37">
        <f t="shared" si="14"/>
        <v>0</v>
      </c>
      <c r="G23" s="37">
        <f t="shared" si="14"/>
        <v>0</v>
      </c>
      <c r="H23" s="37">
        <f t="shared" si="14"/>
        <v>0</v>
      </c>
      <c r="I23" s="37">
        <f t="shared" si="14"/>
        <v>0</v>
      </c>
      <c r="J23" s="37">
        <f t="shared" si="14"/>
        <v>0</v>
      </c>
      <c r="K23" s="37">
        <f t="shared" si="14"/>
        <v>0</v>
      </c>
      <c r="L23" s="37">
        <f t="shared" si="14"/>
        <v>0</v>
      </c>
      <c r="M23" s="37">
        <f t="shared" si="14"/>
        <v>0</v>
      </c>
      <c r="N23" s="37">
        <f t="shared" si="14"/>
        <v>0</v>
      </c>
      <c r="O23" s="37">
        <f t="shared" si="14"/>
        <v>0</v>
      </c>
      <c r="P23" s="37">
        <f t="shared" si="14"/>
        <v>0</v>
      </c>
      <c r="Q23" s="37">
        <f t="shared" si="14"/>
        <v>0</v>
      </c>
      <c r="R23" s="37">
        <f t="shared" si="14"/>
        <v>0</v>
      </c>
      <c r="S23" s="37">
        <f t="shared" si="14"/>
        <v>0</v>
      </c>
      <c r="T23" s="37">
        <f t="shared" si="14"/>
        <v>0</v>
      </c>
      <c r="U23" s="37">
        <f t="shared" si="14"/>
        <v>0</v>
      </c>
      <c r="V23" s="37">
        <f t="shared" si="14"/>
        <v>0</v>
      </c>
      <c r="W23" s="37">
        <f t="shared" si="14"/>
        <v>0</v>
      </c>
      <c r="X23" s="37">
        <f t="shared" si="14"/>
        <v>0</v>
      </c>
      <c r="Y23" s="37">
        <f t="shared" si="14"/>
        <v>0</v>
      </c>
      <c r="Z23" s="37">
        <f t="shared" si="14"/>
        <v>0</v>
      </c>
      <c r="AA23" s="37">
        <f t="shared" si="14"/>
        <v>0</v>
      </c>
      <c r="AB23" s="37">
        <f t="shared" si="14"/>
        <v>0</v>
      </c>
      <c r="AC23" s="37">
        <f t="shared" si="14"/>
        <v>0</v>
      </c>
      <c r="AD23" s="37">
        <f t="shared" si="14"/>
        <v>0</v>
      </c>
      <c r="AE23" s="37">
        <f t="shared" si="14"/>
        <v>0</v>
      </c>
      <c r="AF23" s="37">
        <f t="shared" si="14"/>
        <v>0</v>
      </c>
      <c r="AG23" s="37">
        <f t="shared" si="14"/>
        <v>0</v>
      </c>
      <c r="AH23" s="37">
        <f t="shared" ref="AH23:AL23" si="15">AH5-AH14</f>
        <v>0</v>
      </c>
      <c r="AI23" s="37">
        <f t="shared" si="15"/>
        <v>0</v>
      </c>
      <c r="AJ23" s="37">
        <f t="shared" si="15"/>
        <v>0</v>
      </c>
      <c r="AK23" s="37">
        <f t="shared" si="15"/>
        <v>0</v>
      </c>
      <c r="AL23" s="37">
        <f t="shared" si="15"/>
        <v>0</v>
      </c>
    </row>
    <row r="24" spans="2:38" x14ac:dyDescent="0.2">
      <c r="B24" s="31" t="s">
        <v>150</v>
      </c>
      <c r="C24" s="37">
        <f>SUM(D24:AL24)</f>
        <v>0</v>
      </c>
      <c r="D24" s="37">
        <f t="shared" ref="D24:AG24" si="16">D6-D15</f>
        <v>0</v>
      </c>
      <c r="E24" s="37">
        <f t="shared" si="16"/>
        <v>0</v>
      </c>
      <c r="F24" s="37">
        <f t="shared" si="16"/>
        <v>0</v>
      </c>
      <c r="G24" s="37">
        <f t="shared" si="16"/>
        <v>0</v>
      </c>
      <c r="H24" s="37">
        <f t="shared" si="16"/>
        <v>0</v>
      </c>
      <c r="I24" s="37">
        <f t="shared" si="16"/>
        <v>0</v>
      </c>
      <c r="J24" s="37">
        <f t="shared" si="16"/>
        <v>0</v>
      </c>
      <c r="K24" s="37">
        <f t="shared" si="16"/>
        <v>0</v>
      </c>
      <c r="L24" s="37">
        <f t="shared" si="16"/>
        <v>0</v>
      </c>
      <c r="M24" s="37">
        <f t="shared" si="16"/>
        <v>0</v>
      </c>
      <c r="N24" s="37">
        <f t="shared" si="16"/>
        <v>0</v>
      </c>
      <c r="O24" s="37">
        <f t="shared" si="16"/>
        <v>0</v>
      </c>
      <c r="P24" s="37">
        <f t="shared" si="16"/>
        <v>0</v>
      </c>
      <c r="Q24" s="37">
        <f t="shared" si="16"/>
        <v>0</v>
      </c>
      <c r="R24" s="37">
        <f t="shared" si="16"/>
        <v>0</v>
      </c>
      <c r="S24" s="37">
        <f t="shared" si="16"/>
        <v>0</v>
      </c>
      <c r="T24" s="37">
        <f t="shared" si="16"/>
        <v>0</v>
      </c>
      <c r="U24" s="37">
        <f t="shared" si="16"/>
        <v>0</v>
      </c>
      <c r="V24" s="37">
        <f t="shared" si="16"/>
        <v>0</v>
      </c>
      <c r="W24" s="37">
        <f t="shared" si="16"/>
        <v>0</v>
      </c>
      <c r="X24" s="37">
        <f t="shared" si="16"/>
        <v>0</v>
      </c>
      <c r="Y24" s="37">
        <f t="shared" si="16"/>
        <v>0</v>
      </c>
      <c r="Z24" s="37">
        <f t="shared" si="16"/>
        <v>0</v>
      </c>
      <c r="AA24" s="37">
        <f t="shared" si="16"/>
        <v>0</v>
      </c>
      <c r="AB24" s="37">
        <f t="shared" si="16"/>
        <v>0</v>
      </c>
      <c r="AC24" s="37">
        <f t="shared" si="16"/>
        <v>0</v>
      </c>
      <c r="AD24" s="37">
        <f t="shared" si="16"/>
        <v>0</v>
      </c>
      <c r="AE24" s="37">
        <f t="shared" si="16"/>
        <v>0</v>
      </c>
      <c r="AF24" s="37">
        <f t="shared" si="16"/>
        <v>0</v>
      </c>
      <c r="AG24" s="37">
        <f t="shared" si="16"/>
        <v>0</v>
      </c>
      <c r="AH24" s="37">
        <f t="shared" ref="AH24:AL24" si="17">AH6-AH15</f>
        <v>0</v>
      </c>
      <c r="AI24" s="37">
        <f t="shared" si="17"/>
        <v>0</v>
      </c>
      <c r="AJ24" s="37">
        <f t="shared" si="17"/>
        <v>0</v>
      </c>
      <c r="AK24" s="37">
        <f t="shared" si="17"/>
        <v>0</v>
      </c>
      <c r="AL24" s="37">
        <f t="shared" si="17"/>
        <v>0</v>
      </c>
    </row>
    <row r="25" spans="2:38" x14ac:dyDescent="0.2">
      <c r="B25" s="31" t="s">
        <v>151</v>
      </c>
      <c r="C25" s="37">
        <f>SUM(D25:AL25)</f>
        <v>0</v>
      </c>
      <c r="D25" s="37">
        <f t="shared" ref="D25:AG25" si="18">D7-D16</f>
        <v>0</v>
      </c>
      <c r="E25" s="37">
        <f t="shared" si="18"/>
        <v>0</v>
      </c>
      <c r="F25" s="37">
        <f t="shared" si="18"/>
        <v>0</v>
      </c>
      <c r="G25" s="37">
        <f t="shared" si="18"/>
        <v>0</v>
      </c>
      <c r="H25" s="37">
        <f t="shared" si="18"/>
        <v>0</v>
      </c>
      <c r="I25" s="37">
        <f t="shared" si="18"/>
        <v>0</v>
      </c>
      <c r="J25" s="37">
        <f t="shared" si="18"/>
        <v>0</v>
      </c>
      <c r="K25" s="37">
        <f t="shared" si="18"/>
        <v>0</v>
      </c>
      <c r="L25" s="37">
        <f t="shared" si="18"/>
        <v>0</v>
      </c>
      <c r="M25" s="37">
        <f t="shared" si="18"/>
        <v>0</v>
      </c>
      <c r="N25" s="37">
        <f t="shared" si="18"/>
        <v>0</v>
      </c>
      <c r="O25" s="37">
        <f t="shared" si="18"/>
        <v>0</v>
      </c>
      <c r="P25" s="37">
        <f t="shared" si="18"/>
        <v>0</v>
      </c>
      <c r="Q25" s="37">
        <f t="shared" si="18"/>
        <v>0</v>
      </c>
      <c r="R25" s="37">
        <f t="shared" si="18"/>
        <v>0</v>
      </c>
      <c r="S25" s="37">
        <f t="shared" si="18"/>
        <v>0</v>
      </c>
      <c r="T25" s="37">
        <f t="shared" si="18"/>
        <v>0</v>
      </c>
      <c r="U25" s="37">
        <f t="shared" si="18"/>
        <v>0</v>
      </c>
      <c r="V25" s="37">
        <f t="shared" si="18"/>
        <v>0</v>
      </c>
      <c r="W25" s="37">
        <f t="shared" si="18"/>
        <v>0</v>
      </c>
      <c r="X25" s="37">
        <f t="shared" si="18"/>
        <v>0</v>
      </c>
      <c r="Y25" s="37">
        <f t="shared" si="18"/>
        <v>0</v>
      </c>
      <c r="Z25" s="37">
        <f t="shared" si="18"/>
        <v>0</v>
      </c>
      <c r="AA25" s="37">
        <f t="shared" si="18"/>
        <v>0</v>
      </c>
      <c r="AB25" s="37">
        <f t="shared" si="18"/>
        <v>0</v>
      </c>
      <c r="AC25" s="37">
        <f t="shared" si="18"/>
        <v>0</v>
      </c>
      <c r="AD25" s="37">
        <f t="shared" si="18"/>
        <v>0</v>
      </c>
      <c r="AE25" s="37">
        <f t="shared" si="18"/>
        <v>0</v>
      </c>
      <c r="AF25" s="37">
        <f t="shared" si="18"/>
        <v>0</v>
      </c>
      <c r="AG25" s="37">
        <f t="shared" si="18"/>
        <v>0</v>
      </c>
      <c r="AH25" s="37">
        <f t="shared" ref="AH25:AL25" si="19">AH7-AH16</f>
        <v>0</v>
      </c>
      <c r="AI25" s="37">
        <f t="shared" si="19"/>
        <v>0</v>
      </c>
      <c r="AJ25" s="37">
        <f t="shared" si="19"/>
        <v>0</v>
      </c>
      <c r="AK25" s="37">
        <f t="shared" si="19"/>
        <v>0</v>
      </c>
      <c r="AL25" s="37">
        <f t="shared" si="19"/>
        <v>0</v>
      </c>
    </row>
    <row r="26" spans="2:38" x14ac:dyDescent="0.2">
      <c r="B26" s="163" t="s">
        <v>59</v>
      </c>
      <c r="C26" s="164">
        <f>SUM(D26:AL26)</f>
        <v>0</v>
      </c>
      <c r="D26" s="165">
        <f t="shared" ref="D26:AG26" si="20">SUM(D23:D25)</f>
        <v>0</v>
      </c>
      <c r="E26" s="164">
        <f t="shared" si="20"/>
        <v>0</v>
      </c>
      <c r="F26" s="164">
        <f t="shared" si="20"/>
        <v>0</v>
      </c>
      <c r="G26" s="164">
        <f t="shared" si="20"/>
        <v>0</v>
      </c>
      <c r="H26" s="164">
        <f t="shared" si="20"/>
        <v>0</v>
      </c>
      <c r="I26" s="164">
        <f t="shared" si="20"/>
        <v>0</v>
      </c>
      <c r="J26" s="164">
        <f t="shared" si="20"/>
        <v>0</v>
      </c>
      <c r="K26" s="164">
        <f t="shared" si="20"/>
        <v>0</v>
      </c>
      <c r="L26" s="164">
        <f t="shared" si="20"/>
        <v>0</v>
      </c>
      <c r="M26" s="164">
        <f t="shared" si="20"/>
        <v>0</v>
      </c>
      <c r="N26" s="164">
        <f t="shared" si="20"/>
        <v>0</v>
      </c>
      <c r="O26" s="164">
        <f t="shared" si="20"/>
        <v>0</v>
      </c>
      <c r="P26" s="164">
        <f t="shared" si="20"/>
        <v>0</v>
      </c>
      <c r="Q26" s="164">
        <f t="shared" si="20"/>
        <v>0</v>
      </c>
      <c r="R26" s="164">
        <f t="shared" si="20"/>
        <v>0</v>
      </c>
      <c r="S26" s="164">
        <f t="shared" si="20"/>
        <v>0</v>
      </c>
      <c r="T26" s="164">
        <f t="shared" si="20"/>
        <v>0</v>
      </c>
      <c r="U26" s="164">
        <f t="shared" si="20"/>
        <v>0</v>
      </c>
      <c r="V26" s="164">
        <f t="shared" si="20"/>
        <v>0</v>
      </c>
      <c r="W26" s="164">
        <f t="shared" si="20"/>
        <v>0</v>
      </c>
      <c r="X26" s="164">
        <f t="shared" si="20"/>
        <v>0</v>
      </c>
      <c r="Y26" s="164">
        <f t="shared" si="20"/>
        <v>0</v>
      </c>
      <c r="Z26" s="164">
        <f t="shared" si="20"/>
        <v>0</v>
      </c>
      <c r="AA26" s="164">
        <f t="shared" si="20"/>
        <v>0</v>
      </c>
      <c r="AB26" s="164">
        <f t="shared" si="20"/>
        <v>0</v>
      </c>
      <c r="AC26" s="164">
        <f t="shared" si="20"/>
        <v>0</v>
      </c>
      <c r="AD26" s="164">
        <f t="shared" si="20"/>
        <v>0</v>
      </c>
      <c r="AE26" s="164">
        <f t="shared" si="20"/>
        <v>0</v>
      </c>
      <c r="AF26" s="164">
        <f t="shared" si="20"/>
        <v>0</v>
      </c>
      <c r="AG26" s="164">
        <f t="shared" si="20"/>
        <v>0</v>
      </c>
      <c r="AH26" s="164">
        <f t="shared" ref="AH26:AL26" si="21">SUM(AH23:AH25)</f>
        <v>0</v>
      </c>
      <c r="AI26" s="164">
        <f t="shared" si="21"/>
        <v>0</v>
      </c>
      <c r="AJ26" s="164">
        <f t="shared" si="21"/>
        <v>0</v>
      </c>
      <c r="AK26" s="164">
        <f t="shared" si="21"/>
        <v>0</v>
      </c>
      <c r="AL26" s="164">
        <f t="shared" si="21"/>
        <v>0</v>
      </c>
    </row>
    <row r="27" spans="2:38" x14ac:dyDescent="0.2">
      <c r="B27" s="170" t="s">
        <v>395</v>
      </c>
      <c r="C27" s="168">
        <f>SUM(D27:AL27)</f>
        <v>0</v>
      </c>
      <c r="D27" s="168">
        <f>(D23*Parametre!$C$117)+(D24*Parametre!$D$117)+(D25*Parametre!$E$117)</f>
        <v>0</v>
      </c>
      <c r="E27" s="168">
        <f>(E23*Parametre!$C$117)+(E24*Parametre!$D$117)+(E25*Parametre!$E$117)</f>
        <v>0</v>
      </c>
      <c r="F27" s="168">
        <f>(F23*Parametre!$C$117)+(F24*Parametre!$D$117)+(F25*Parametre!$E$117)</f>
        <v>0</v>
      </c>
      <c r="G27" s="168">
        <f>(G23*Parametre!$C$117)+(G24*Parametre!$D$117)+(G25*Parametre!$E$117)</f>
        <v>0</v>
      </c>
      <c r="H27" s="168">
        <f>(H23*Parametre!$C$117)+(H24*Parametre!$D$117)+(H25*Parametre!$E$117)</f>
        <v>0</v>
      </c>
      <c r="I27" s="168">
        <f>(I23*Parametre!$C$117)+(I24*Parametre!$D$117)+(I25*Parametre!$E$117)</f>
        <v>0</v>
      </c>
      <c r="J27" s="168">
        <f>(J23*Parametre!$C$117)+(J24*Parametre!$D$117)+(J25*Parametre!$E$117)</f>
        <v>0</v>
      </c>
      <c r="K27" s="168">
        <f>(K23*Parametre!$C$117)+(K24*Parametre!$D$117)+(K25*Parametre!$E$117)</f>
        <v>0</v>
      </c>
      <c r="L27" s="168">
        <f>(L23*Parametre!$C$117)+(L24*Parametre!$D$117)+(L25*Parametre!$E$117)</f>
        <v>0</v>
      </c>
      <c r="M27" s="168">
        <f>(M23*Parametre!$C$117)+(M24*Parametre!$D$117)+(M25*Parametre!$E$117)</f>
        <v>0</v>
      </c>
      <c r="N27" s="168">
        <f>(N23*Parametre!$C$117)+(N24*Parametre!$D$117)+(N25*Parametre!$E$117)</f>
        <v>0</v>
      </c>
      <c r="O27" s="168">
        <f>(O23*Parametre!$C$117)+(O24*Parametre!$D$117)+(O25*Parametre!$E$117)</f>
        <v>0</v>
      </c>
      <c r="P27" s="168">
        <f>(P23*Parametre!$C$117)+(P24*Parametre!$D$117)+(P25*Parametre!$E$117)</f>
        <v>0</v>
      </c>
      <c r="Q27" s="168">
        <f>(Q23*Parametre!$C$117)+(Q24*Parametre!$D$117)+(Q25*Parametre!$E$117)</f>
        <v>0</v>
      </c>
      <c r="R27" s="168">
        <f>(R23*Parametre!$C$117)+(R24*Parametre!$D$117)+(R25*Parametre!$E$117)</f>
        <v>0</v>
      </c>
      <c r="S27" s="168">
        <f>(S23*Parametre!$C$117)+(S24*Parametre!$D$117)+(S25*Parametre!$E$117)</f>
        <v>0</v>
      </c>
      <c r="T27" s="168">
        <f>(T23*Parametre!$C$117)+(T24*Parametre!$D$117)+(T25*Parametre!$E$117)</f>
        <v>0</v>
      </c>
      <c r="U27" s="168">
        <f>(U23*Parametre!$C$117)+(U24*Parametre!$D$117)+(U25*Parametre!$E$117)</f>
        <v>0</v>
      </c>
      <c r="V27" s="168">
        <f>(V23*Parametre!$C$117)+(V24*Parametre!$D$117)+(V25*Parametre!$E$117)</f>
        <v>0</v>
      </c>
      <c r="W27" s="168">
        <f>(W23*Parametre!$C$117)+(W24*Parametre!$D$117)+(W25*Parametre!$E$117)</f>
        <v>0</v>
      </c>
      <c r="X27" s="168">
        <f>(X23*Parametre!$C$117)+(X24*Parametre!$D$117)+(X25*Parametre!$E$117)</f>
        <v>0</v>
      </c>
      <c r="Y27" s="168">
        <f>(Y23*Parametre!$C$117)+(Y24*Parametre!$D$117)+(Y25*Parametre!$E$117)</f>
        <v>0</v>
      </c>
      <c r="Z27" s="168">
        <f>(Z23*Parametre!$C$117)+(Z24*Parametre!$D$117)+(Z25*Parametre!$E$117)</f>
        <v>0</v>
      </c>
      <c r="AA27" s="168">
        <f>(AA23*Parametre!$C$117)+(AA24*Parametre!$D$117)+(AA25*Parametre!$E$117)</f>
        <v>0</v>
      </c>
      <c r="AB27" s="168">
        <f>(AB23*Parametre!$C$117)+(AB24*Parametre!$D$117)+(AB25*Parametre!$E$117)</f>
        <v>0</v>
      </c>
      <c r="AC27" s="168">
        <f>(AC23*Parametre!$C$117)+(AC24*Parametre!$D$117)+(AC25*Parametre!$E$117)</f>
        <v>0</v>
      </c>
      <c r="AD27" s="168">
        <f>(AD23*Parametre!$C$117)+(AD24*Parametre!$D$117)+(AD25*Parametre!$E$117)</f>
        <v>0</v>
      </c>
      <c r="AE27" s="168">
        <f>(AE23*Parametre!$C$117)+(AE24*Parametre!$D$117)+(AE25*Parametre!$E$117)</f>
        <v>0</v>
      </c>
      <c r="AF27" s="168">
        <f>(AF23*Parametre!$C$117)+(AF24*Parametre!$D$117)+(AF25*Parametre!$E$117)</f>
        <v>0</v>
      </c>
      <c r="AG27" s="168">
        <f>(AG23*Parametre!$C$117)+(AG24*Parametre!$D$117)+(AG25*Parametre!$E$117)</f>
        <v>0</v>
      </c>
      <c r="AH27" s="168">
        <f>(AH23*Parametre!$C$117)+(AH24*Parametre!$D$117)+(AH25*Parametre!$E$117)</f>
        <v>0</v>
      </c>
      <c r="AI27" s="168">
        <f>(AI23*Parametre!$C$117)+(AI24*Parametre!$D$117)+(AI25*Parametre!$E$117)</f>
        <v>0</v>
      </c>
      <c r="AJ27" s="168">
        <f>(AJ23*Parametre!$C$117)+(AJ24*Parametre!$D$117)+(AJ25*Parametre!$E$117)</f>
        <v>0</v>
      </c>
      <c r="AK27" s="168">
        <f>(AK23*Parametre!$C$117)+(AK24*Parametre!$D$117)+(AK25*Parametre!$E$117)</f>
        <v>0</v>
      </c>
      <c r="AL27" s="168">
        <f>(AL23*Parametre!$C$117)+(AL24*Parametre!$D$117)+(AL25*Parametre!$E$117)</f>
        <v>0</v>
      </c>
    </row>
    <row r="30" spans="2:38" x14ac:dyDescent="0.2">
      <c r="B30" s="765" t="s">
        <v>443</v>
      </c>
      <c r="C30" s="31"/>
      <c r="D30" s="31" t="s">
        <v>10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</row>
    <row r="31" spans="2:38" x14ac:dyDescent="0.2">
      <c r="B31" s="769"/>
      <c r="C31" s="32"/>
      <c r="D31" s="33">
        <v>1</v>
      </c>
      <c r="E31" s="33">
        <v>2</v>
      </c>
      <c r="F31" s="33">
        <v>3</v>
      </c>
      <c r="G31" s="33">
        <v>4</v>
      </c>
      <c r="H31" s="33">
        <v>5</v>
      </c>
      <c r="I31" s="33">
        <v>6</v>
      </c>
      <c r="J31" s="33">
        <v>7</v>
      </c>
      <c r="K31" s="33">
        <v>8</v>
      </c>
      <c r="L31" s="33">
        <v>9</v>
      </c>
      <c r="M31" s="33">
        <v>10</v>
      </c>
      <c r="N31" s="33">
        <v>11</v>
      </c>
      <c r="O31" s="33">
        <v>12</v>
      </c>
      <c r="P31" s="33">
        <v>13</v>
      </c>
      <c r="Q31" s="33">
        <v>14</v>
      </c>
      <c r="R31" s="33">
        <v>15</v>
      </c>
      <c r="S31" s="33">
        <v>16</v>
      </c>
      <c r="T31" s="33">
        <v>17</v>
      </c>
      <c r="U31" s="33">
        <v>18</v>
      </c>
      <c r="V31" s="33">
        <v>19</v>
      </c>
      <c r="W31" s="33">
        <v>20</v>
      </c>
      <c r="X31" s="33">
        <v>21</v>
      </c>
      <c r="Y31" s="33">
        <v>22</v>
      </c>
      <c r="Z31" s="33">
        <v>23</v>
      </c>
      <c r="AA31" s="33">
        <v>24</v>
      </c>
      <c r="AB31" s="33">
        <v>25</v>
      </c>
      <c r="AC31" s="33">
        <v>26</v>
      </c>
      <c r="AD31" s="33">
        <v>27</v>
      </c>
      <c r="AE31" s="33">
        <v>28</v>
      </c>
      <c r="AF31" s="33">
        <v>29</v>
      </c>
      <c r="AG31" s="33">
        <v>30</v>
      </c>
      <c r="AH31" s="33">
        <v>31</v>
      </c>
      <c r="AI31" s="33">
        <v>32</v>
      </c>
      <c r="AJ31" s="33">
        <v>33</v>
      </c>
      <c r="AK31" s="33">
        <v>34</v>
      </c>
      <c r="AL31" s="33">
        <v>35</v>
      </c>
    </row>
    <row r="32" spans="2:38" x14ac:dyDescent="0.2">
      <c r="B32" s="34" t="s">
        <v>33</v>
      </c>
      <c r="C32" s="34" t="s">
        <v>9</v>
      </c>
      <c r="D32" s="35">
        <f>D4</f>
        <v>2025</v>
      </c>
      <c r="E32" s="35">
        <f t="shared" ref="E32:AG32" si="22">E4</f>
        <v>2026</v>
      </c>
      <c r="F32" s="35">
        <f t="shared" si="22"/>
        <v>2027</v>
      </c>
      <c r="G32" s="35">
        <f t="shared" si="22"/>
        <v>2028</v>
      </c>
      <c r="H32" s="35">
        <f t="shared" si="22"/>
        <v>2029</v>
      </c>
      <c r="I32" s="35">
        <f t="shared" si="22"/>
        <v>2030</v>
      </c>
      <c r="J32" s="35">
        <f t="shared" si="22"/>
        <v>2031</v>
      </c>
      <c r="K32" s="35">
        <f t="shared" si="22"/>
        <v>2032</v>
      </c>
      <c r="L32" s="35">
        <f t="shared" si="22"/>
        <v>2033</v>
      </c>
      <c r="M32" s="35">
        <f t="shared" si="22"/>
        <v>2034</v>
      </c>
      <c r="N32" s="35">
        <f t="shared" si="22"/>
        <v>2035</v>
      </c>
      <c r="O32" s="35">
        <f t="shared" si="22"/>
        <v>2036</v>
      </c>
      <c r="P32" s="35">
        <f t="shared" si="22"/>
        <v>2037</v>
      </c>
      <c r="Q32" s="35">
        <f t="shared" si="22"/>
        <v>2038</v>
      </c>
      <c r="R32" s="35">
        <f t="shared" si="22"/>
        <v>2039</v>
      </c>
      <c r="S32" s="35">
        <f t="shared" si="22"/>
        <v>2040</v>
      </c>
      <c r="T32" s="35">
        <f t="shared" si="22"/>
        <v>2041</v>
      </c>
      <c r="U32" s="35">
        <f t="shared" si="22"/>
        <v>2042</v>
      </c>
      <c r="V32" s="35">
        <f t="shared" si="22"/>
        <v>2043</v>
      </c>
      <c r="W32" s="35">
        <f t="shared" si="22"/>
        <v>2044</v>
      </c>
      <c r="X32" s="35">
        <f t="shared" si="22"/>
        <v>2045</v>
      </c>
      <c r="Y32" s="35">
        <f t="shared" si="22"/>
        <v>2046</v>
      </c>
      <c r="Z32" s="35">
        <f t="shared" si="22"/>
        <v>2047</v>
      </c>
      <c r="AA32" s="35">
        <f t="shared" si="22"/>
        <v>2048</v>
      </c>
      <c r="AB32" s="35">
        <f t="shared" si="22"/>
        <v>2049</v>
      </c>
      <c r="AC32" s="35">
        <f t="shared" si="22"/>
        <v>2050</v>
      </c>
      <c r="AD32" s="35">
        <f t="shared" si="22"/>
        <v>2051</v>
      </c>
      <c r="AE32" s="35">
        <f t="shared" si="22"/>
        <v>2052</v>
      </c>
      <c r="AF32" s="35">
        <f t="shared" si="22"/>
        <v>2053</v>
      </c>
      <c r="AG32" s="35">
        <f t="shared" si="22"/>
        <v>2054</v>
      </c>
      <c r="AH32" s="35">
        <f t="shared" ref="AH32:AL32" si="23">AH4</f>
        <v>2055</v>
      </c>
      <c r="AI32" s="35">
        <f t="shared" si="23"/>
        <v>2056</v>
      </c>
      <c r="AJ32" s="35">
        <f t="shared" si="23"/>
        <v>2057</v>
      </c>
      <c r="AK32" s="35">
        <f t="shared" si="23"/>
        <v>2058</v>
      </c>
      <c r="AL32" s="35">
        <f t="shared" si="23"/>
        <v>2059</v>
      </c>
    </row>
    <row r="33" spans="2:38" x14ac:dyDescent="0.2">
      <c r="B33" s="33" t="s">
        <v>223</v>
      </c>
      <c r="C33" s="37">
        <f t="shared" ref="C33:C38" si="24">SUM(D33:AL33)</f>
        <v>0</v>
      </c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</row>
    <row r="34" spans="2:38" x14ac:dyDescent="0.2">
      <c r="B34" s="33" t="s">
        <v>280</v>
      </c>
      <c r="C34" s="37">
        <f t="shared" si="24"/>
        <v>0</v>
      </c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</row>
    <row r="35" spans="2:38" x14ac:dyDescent="0.2">
      <c r="B35" s="33" t="s">
        <v>232</v>
      </c>
      <c r="C35" s="37">
        <f t="shared" si="24"/>
        <v>1170496600</v>
      </c>
      <c r="D35" s="122">
        <f>'03 A_Prevádzkové výdavky'!E4*Parametre!$F$77</f>
        <v>33442760</v>
      </c>
      <c r="E35" s="122">
        <f>'03 A_Prevádzkové výdavky'!F4*Parametre!$F$77</f>
        <v>33442760</v>
      </c>
      <c r="F35" s="122">
        <f>'03 A_Prevádzkové výdavky'!G4*Parametre!$F$77</f>
        <v>33442760</v>
      </c>
      <c r="G35" s="122">
        <f>'03 A_Prevádzkové výdavky'!H4*Parametre!$F$77</f>
        <v>33442760</v>
      </c>
      <c r="H35" s="122">
        <f>'03 A_Prevádzkové výdavky'!I4*Parametre!$F$77</f>
        <v>33442760</v>
      </c>
      <c r="I35" s="122">
        <f>'03 A_Prevádzkové výdavky'!J4*Parametre!$F$77</f>
        <v>33442760</v>
      </c>
      <c r="J35" s="122">
        <f>'03 A_Prevádzkové výdavky'!K4*Parametre!$F$77</f>
        <v>33442760</v>
      </c>
      <c r="K35" s="122">
        <f>'03 A_Prevádzkové výdavky'!L4*Parametre!$F$77</f>
        <v>33442760</v>
      </c>
      <c r="L35" s="122">
        <f>'03 A_Prevádzkové výdavky'!M4*Parametre!$F$77</f>
        <v>33442760</v>
      </c>
      <c r="M35" s="122">
        <f>'03 A_Prevádzkové výdavky'!N4*Parametre!$F$77</f>
        <v>33442760</v>
      </c>
      <c r="N35" s="122">
        <f>'03 A_Prevádzkové výdavky'!O4*Parametre!$F$77</f>
        <v>33442760</v>
      </c>
      <c r="O35" s="122">
        <f>'03 A_Prevádzkové výdavky'!P4*Parametre!$F$77</f>
        <v>33442760</v>
      </c>
      <c r="P35" s="122">
        <f>'03 A_Prevádzkové výdavky'!Q4*Parametre!$F$77</f>
        <v>33442760</v>
      </c>
      <c r="Q35" s="122">
        <f>'03 A_Prevádzkové výdavky'!R4*Parametre!$F$77</f>
        <v>33442760</v>
      </c>
      <c r="R35" s="122">
        <f>'03 A_Prevádzkové výdavky'!S4*Parametre!$F$77</f>
        <v>33442760</v>
      </c>
      <c r="S35" s="122">
        <f>'03 A_Prevádzkové výdavky'!T4*Parametre!$F$77</f>
        <v>33442760</v>
      </c>
      <c r="T35" s="122">
        <f>'03 A_Prevádzkové výdavky'!U4*Parametre!$F$77</f>
        <v>33442760</v>
      </c>
      <c r="U35" s="122">
        <f>'03 A_Prevádzkové výdavky'!V4*Parametre!$F$77</f>
        <v>33442760</v>
      </c>
      <c r="V35" s="122">
        <f>'03 A_Prevádzkové výdavky'!W4*Parametre!$F$77</f>
        <v>33442760</v>
      </c>
      <c r="W35" s="122">
        <f>'03 A_Prevádzkové výdavky'!X4*Parametre!$F$77</f>
        <v>33442760</v>
      </c>
      <c r="X35" s="122">
        <f>'03 A_Prevádzkové výdavky'!Y4*Parametre!$F$77</f>
        <v>33442760</v>
      </c>
      <c r="Y35" s="122">
        <f>'03 A_Prevádzkové výdavky'!Z4*Parametre!$F$77</f>
        <v>33442760</v>
      </c>
      <c r="Z35" s="122">
        <f>'03 A_Prevádzkové výdavky'!AA4*Parametre!$F$77</f>
        <v>33442760</v>
      </c>
      <c r="AA35" s="122">
        <f>'03 A_Prevádzkové výdavky'!AB4*Parametre!$F$77</f>
        <v>33442760</v>
      </c>
      <c r="AB35" s="122">
        <f>'03 A_Prevádzkové výdavky'!AC4*Parametre!$F$77</f>
        <v>33442760</v>
      </c>
      <c r="AC35" s="122">
        <f>'03 A_Prevádzkové výdavky'!AD4*Parametre!$F$77</f>
        <v>33442760</v>
      </c>
      <c r="AD35" s="122">
        <f>'03 A_Prevádzkové výdavky'!AE4*Parametre!$F$77</f>
        <v>33442760</v>
      </c>
      <c r="AE35" s="122">
        <f>'03 A_Prevádzkové výdavky'!AF4*Parametre!$F$77</f>
        <v>33442760</v>
      </c>
      <c r="AF35" s="122">
        <f>'03 A_Prevádzkové výdavky'!AG4*Parametre!$F$77</f>
        <v>33442760</v>
      </c>
      <c r="AG35" s="122">
        <f>'03 A_Prevádzkové výdavky'!AH4*Parametre!$F$77</f>
        <v>33442760</v>
      </c>
      <c r="AH35" s="122">
        <f>'03 A_Prevádzkové výdavky'!AI4*Parametre!$F$77</f>
        <v>33442760</v>
      </c>
      <c r="AI35" s="122">
        <f>'03 A_Prevádzkové výdavky'!AJ4*Parametre!$F$77</f>
        <v>33442760</v>
      </c>
      <c r="AJ35" s="122">
        <f>'03 A_Prevádzkové výdavky'!AK4*Parametre!$F$77</f>
        <v>33442760</v>
      </c>
      <c r="AK35" s="122">
        <f>'03 A_Prevádzkové výdavky'!AL4*Parametre!$F$77</f>
        <v>33442760</v>
      </c>
      <c r="AL35" s="122">
        <f>'03 A_Prevádzkové výdavky'!AM4*Parametre!$F$77</f>
        <v>33442760</v>
      </c>
    </row>
    <row r="36" spans="2:38" x14ac:dyDescent="0.2">
      <c r="B36" s="33" t="s">
        <v>233</v>
      </c>
      <c r="C36" s="37">
        <f t="shared" si="24"/>
        <v>0</v>
      </c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</row>
    <row r="37" spans="2:38" x14ac:dyDescent="0.2">
      <c r="B37" s="31"/>
      <c r="C37" s="37">
        <f t="shared" si="24"/>
        <v>0</v>
      </c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</row>
    <row r="38" spans="2:38" x14ac:dyDescent="0.2">
      <c r="B38" s="32" t="s">
        <v>35</v>
      </c>
      <c r="C38" s="123">
        <f t="shared" si="24"/>
        <v>1170496600</v>
      </c>
      <c r="D38" s="123">
        <f t="shared" ref="D38:AG38" si="25">SUM(D33:D37)</f>
        <v>33442760</v>
      </c>
      <c r="E38" s="123">
        <f t="shared" si="25"/>
        <v>33442760</v>
      </c>
      <c r="F38" s="123">
        <f t="shared" si="25"/>
        <v>33442760</v>
      </c>
      <c r="G38" s="123">
        <f t="shared" si="25"/>
        <v>33442760</v>
      </c>
      <c r="H38" s="123">
        <f t="shared" si="25"/>
        <v>33442760</v>
      </c>
      <c r="I38" s="123">
        <f t="shared" si="25"/>
        <v>33442760</v>
      </c>
      <c r="J38" s="123">
        <f t="shared" si="25"/>
        <v>33442760</v>
      </c>
      <c r="K38" s="123">
        <f t="shared" si="25"/>
        <v>33442760</v>
      </c>
      <c r="L38" s="123">
        <f t="shared" si="25"/>
        <v>33442760</v>
      </c>
      <c r="M38" s="123">
        <f t="shared" si="25"/>
        <v>33442760</v>
      </c>
      <c r="N38" s="123">
        <f t="shared" si="25"/>
        <v>33442760</v>
      </c>
      <c r="O38" s="123">
        <f t="shared" si="25"/>
        <v>33442760</v>
      </c>
      <c r="P38" s="123">
        <f t="shared" si="25"/>
        <v>33442760</v>
      </c>
      <c r="Q38" s="123">
        <f t="shared" si="25"/>
        <v>33442760</v>
      </c>
      <c r="R38" s="123">
        <f t="shared" si="25"/>
        <v>33442760</v>
      </c>
      <c r="S38" s="123">
        <f t="shared" si="25"/>
        <v>33442760</v>
      </c>
      <c r="T38" s="123">
        <f t="shared" si="25"/>
        <v>33442760</v>
      </c>
      <c r="U38" s="123">
        <f t="shared" si="25"/>
        <v>33442760</v>
      </c>
      <c r="V38" s="123">
        <f t="shared" si="25"/>
        <v>33442760</v>
      </c>
      <c r="W38" s="123">
        <f t="shared" si="25"/>
        <v>33442760</v>
      </c>
      <c r="X38" s="123">
        <f t="shared" si="25"/>
        <v>33442760</v>
      </c>
      <c r="Y38" s="123">
        <f t="shared" si="25"/>
        <v>33442760</v>
      </c>
      <c r="Z38" s="123">
        <f t="shared" si="25"/>
        <v>33442760</v>
      </c>
      <c r="AA38" s="123">
        <f t="shared" si="25"/>
        <v>33442760</v>
      </c>
      <c r="AB38" s="123">
        <f t="shared" si="25"/>
        <v>33442760</v>
      </c>
      <c r="AC38" s="123">
        <f t="shared" si="25"/>
        <v>33442760</v>
      </c>
      <c r="AD38" s="123">
        <f t="shared" si="25"/>
        <v>33442760</v>
      </c>
      <c r="AE38" s="123">
        <f t="shared" si="25"/>
        <v>33442760</v>
      </c>
      <c r="AF38" s="123">
        <f t="shared" si="25"/>
        <v>33442760</v>
      </c>
      <c r="AG38" s="123">
        <f t="shared" si="25"/>
        <v>33442760</v>
      </c>
      <c r="AH38" s="123">
        <f t="shared" ref="AH38:AL38" si="26">SUM(AH33:AH37)</f>
        <v>33442760</v>
      </c>
      <c r="AI38" s="123">
        <f t="shared" si="26"/>
        <v>33442760</v>
      </c>
      <c r="AJ38" s="123">
        <f t="shared" si="26"/>
        <v>33442760</v>
      </c>
      <c r="AK38" s="123">
        <f t="shared" si="26"/>
        <v>33442760</v>
      </c>
      <c r="AL38" s="123">
        <f t="shared" si="26"/>
        <v>33442760</v>
      </c>
    </row>
    <row r="41" spans="2:38" x14ac:dyDescent="0.2">
      <c r="B41" s="765" t="s">
        <v>444</v>
      </c>
      <c r="C41" s="31"/>
      <c r="D41" s="31" t="s">
        <v>10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</row>
    <row r="42" spans="2:38" x14ac:dyDescent="0.2">
      <c r="B42" s="769"/>
      <c r="C42" s="32"/>
      <c r="D42" s="33">
        <v>1</v>
      </c>
      <c r="E42" s="33">
        <v>2</v>
      </c>
      <c r="F42" s="33">
        <v>3</v>
      </c>
      <c r="G42" s="33">
        <v>4</v>
      </c>
      <c r="H42" s="33">
        <v>5</v>
      </c>
      <c r="I42" s="33">
        <v>6</v>
      </c>
      <c r="J42" s="33">
        <v>7</v>
      </c>
      <c r="K42" s="33">
        <v>8</v>
      </c>
      <c r="L42" s="33">
        <v>9</v>
      </c>
      <c r="M42" s="33">
        <v>10</v>
      </c>
      <c r="N42" s="33">
        <v>11</v>
      </c>
      <c r="O42" s="33">
        <v>12</v>
      </c>
      <c r="P42" s="33">
        <v>13</v>
      </c>
      <c r="Q42" s="33">
        <v>14</v>
      </c>
      <c r="R42" s="33">
        <v>15</v>
      </c>
      <c r="S42" s="33">
        <v>16</v>
      </c>
      <c r="T42" s="33">
        <v>17</v>
      </c>
      <c r="U42" s="33">
        <v>18</v>
      </c>
      <c r="V42" s="33">
        <v>19</v>
      </c>
      <c r="W42" s="33">
        <v>20</v>
      </c>
      <c r="X42" s="33">
        <v>21</v>
      </c>
      <c r="Y42" s="33">
        <v>22</v>
      </c>
      <c r="Z42" s="33">
        <v>23</v>
      </c>
      <c r="AA42" s="33">
        <v>24</v>
      </c>
      <c r="AB42" s="33">
        <v>25</v>
      </c>
      <c r="AC42" s="33">
        <v>26</v>
      </c>
      <c r="AD42" s="33">
        <v>27</v>
      </c>
      <c r="AE42" s="33">
        <v>28</v>
      </c>
      <c r="AF42" s="33">
        <v>29</v>
      </c>
      <c r="AG42" s="33">
        <v>30</v>
      </c>
      <c r="AH42" s="33">
        <v>31</v>
      </c>
      <c r="AI42" s="33">
        <v>32</v>
      </c>
      <c r="AJ42" s="33">
        <v>33</v>
      </c>
      <c r="AK42" s="33">
        <v>34</v>
      </c>
      <c r="AL42" s="33">
        <v>35</v>
      </c>
    </row>
    <row r="43" spans="2:38" x14ac:dyDescent="0.2">
      <c r="B43" s="34" t="s">
        <v>34</v>
      </c>
      <c r="C43" s="34" t="s">
        <v>9</v>
      </c>
      <c r="D43" s="35">
        <f t="shared" ref="D43:AG43" si="27">D4</f>
        <v>2025</v>
      </c>
      <c r="E43" s="35">
        <f t="shared" si="27"/>
        <v>2026</v>
      </c>
      <c r="F43" s="35">
        <f t="shared" si="27"/>
        <v>2027</v>
      </c>
      <c r="G43" s="35">
        <f t="shared" si="27"/>
        <v>2028</v>
      </c>
      <c r="H43" s="35">
        <f t="shared" si="27"/>
        <v>2029</v>
      </c>
      <c r="I43" s="35">
        <f t="shared" si="27"/>
        <v>2030</v>
      </c>
      <c r="J43" s="35">
        <f t="shared" si="27"/>
        <v>2031</v>
      </c>
      <c r="K43" s="35">
        <f t="shared" si="27"/>
        <v>2032</v>
      </c>
      <c r="L43" s="35">
        <f t="shared" si="27"/>
        <v>2033</v>
      </c>
      <c r="M43" s="35">
        <f t="shared" si="27"/>
        <v>2034</v>
      </c>
      <c r="N43" s="35">
        <f t="shared" si="27"/>
        <v>2035</v>
      </c>
      <c r="O43" s="35">
        <f t="shared" si="27"/>
        <v>2036</v>
      </c>
      <c r="P43" s="35">
        <f t="shared" si="27"/>
        <v>2037</v>
      </c>
      <c r="Q43" s="35">
        <f t="shared" si="27"/>
        <v>2038</v>
      </c>
      <c r="R43" s="35">
        <f t="shared" si="27"/>
        <v>2039</v>
      </c>
      <c r="S43" s="35">
        <f t="shared" si="27"/>
        <v>2040</v>
      </c>
      <c r="T43" s="35">
        <f t="shared" si="27"/>
        <v>2041</v>
      </c>
      <c r="U43" s="35">
        <f t="shared" si="27"/>
        <v>2042</v>
      </c>
      <c r="V43" s="35">
        <f t="shared" si="27"/>
        <v>2043</v>
      </c>
      <c r="W43" s="35">
        <f t="shared" si="27"/>
        <v>2044</v>
      </c>
      <c r="X43" s="35">
        <f t="shared" si="27"/>
        <v>2045</v>
      </c>
      <c r="Y43" s="35">
        <f t="shared" si="27"/>
        <v>2046</v>
      </c>
      <c r="Z43" s="35">
        <f t="shared" si="27"/>
        <v>2047</v>
      </c>
      <c r="AA43" s="35">
        <f t="shared" si="27"/>
        <v>2048</v>
      </c>
      <c r="AB43" s="35">
        <f t="shared" si="27"/>
        <v>2049</v>
      </c>
      <c r="AC43" s="35">
        <f t="shared" si="27"/>
        <v>2050</v>
      </c>
      <c r="AD43" s="35">
        <f t="shared" si="27"/>
        <v>2051</v>
      </c>
      <c r="AE43" s="35">
        <f t="shared" si="27"/>
        <v>2052</v>
      </c>
      <c r="AF43" s="35">
        <f t="shared" si="27"/>
        <v>2053</v>
      </c>
      <c r="AG43" s="35">
        <f t="shared" si="27"/>
        <v>2054</v>
      </c>
      <c r="AH43" s="35">
        <f t="shared" ref="AH43:AL43" si="28">AH4</f>
        <v>2055</v>
      </c>
      <c r="AI43" s="35">
        <f t="shared" si="28"/>
        <v>2056</v>
      </c>
      <c r="AJ43" s="35">
        <f t="shared" si="28"/>
        <v>2057</v>
      </c>
      <c r="AK43" s="35">
        <f t="shared" si="28"/>
        <v>2058</v>
      </c>
      <c r="AL43" s="35">
        <f t="shared" si="28"/>
        <v>2059</v>
      </c>
    </row>
    <row r="44" spans="2:38" x14ac:dyDescent="0.2">
      <c r="B44" s="33" t="s">
        <v>713</v>
      </c>
      <c r="C44" s="37">
        <f t="shared" ref="C44:C49" si="29">SUM(D44:AL44)</f>
        <v>558747840</v>
      </c>
      <c r="D44" s="122">
        <f>'03 A_Prevádzkové výdavky'!E13*Parametre!$F$77</f>
        <v>0</v>
      </c>
      <c r="E44" s="122">
        <f>'03 A_Prevádzkové výdavky'!F13*Parametre!$F$77</f>
        <v>0</v>
      </c>
      <c r="F44" s="122">
        <f>'03 A_Prevádzkové výdavky'!G13*Parametre!$F$77</f>
        <v>0</v>
      </c>
      <c r="G44" s="122">
        <f>'03 A_Prevádzkové výdavky'!H5*11.9</f>
        <v>17460870</v>
      </c>
      <c r="H44" s="122">
        <f>'03 A_Prevádzkové výdavky'!I5*11.9</f>
        <v>17460870</v>
      </c>
      <c r="I44" s="122">
        <f>'03 A_Prevádzkové výdavky'!J5*11.9</f>
        <v>17460870</v>
      </c>
      <c r="J44" s="122">
        <f>'03 A_Prevádzkové výdavky'!K5*11.9</f>
        <v>17460870</v>
      </c>
      <c r="K44" s="122">
        <f>'03 A_Prevádzkové výdavky'!L5*11.9</f>
        <v>17460870</v>
      </c>
      <c r="L44" s="122">
        <f>'03 A_Prevádzkové výdavky'!M5*11.9</f>
        <v>17460870</v>
      </c>
      <c r="M44" s="122">
        <f>'03 A_Prevádzkové výdavky'!N5*11.9</f>
        <v>17460870</v>
      </c>
      <c r="N44" s="122">
        <f>'03 A_Prevádzkové výdavky'!O5*11.9</f>
        <v>17460870</v>
      </c>
      <c r="O44" s="122">
        <f>'03 A_Prevádzkové výdavky'!P5*11.9</f>
        <v>17460870</v>
      </c>
      <c r="P44" s="122">
        <f>'03 A_Prevádzkové výdavky'!Q5*11.9</f>
        <v>17460870</v>
      </c>
      <c r="Q44" s="122">
        <f>'03 A_Prevádzkové výdavky'!R5*11.9</f>
        <v>17460870</v>
      </c>
      <c r="R44" s="122">
        <f>'03 A_Prevádzkové výdavky'!S5*11.9</f>
        <v>17460870</v>
      </c>
      <c r="S44" s="122">
        <f>'03 A_Prevádzkové výdavky'!T5*11.9</f>
        <v>17460870</v>
      </c>
      <c r="T44" s="122">
        <f>'03 A_Prevádzkové výdavky'!U5*11.9</f>
        <v>17460870</v>
      </c>
      <c r="U44" s="122">
        <f>'03 A_Prevádzkové výdavky'!V5*11.9</f>
        <v>17460870</v>
      </c>
      <c r="V44" s="122">
        <f>'03 A_Prevádzkové výdavky'!W5*11.9</f>
        <v>17460870</v>
      </c>
      <c r="W44" s="122">
        <f>'03 A_Prevádzkové výdavky'!X5*11.9</f>
        <v>17460870</v>
      </c>
      <c r="X44" s="122">
        <f>'03 A_Prevádzkové výdavky'!Y5*11.9</f>
        <v>17460870</v>
      </c>
      <c r="Y44" s="122">
        <f>'03 A_Prevádzkové výdavky'!Z5*11.9</f>
        <v>17460870</v>
      </c>
      <c r="Z44" s="122">
        <f>'03 A_Prevádzkové výdavky'!AA5*11.9</f>
        <v>17460870</v>
      </c>
      <c r="AA44" s="122">
        <f>'03 A_Prevádzkové výdavky'!AB5*11.9</f>
        <v>17460870</v>
      </c>
      <c r="AB44" s="122">
        <f>'03 A_Prevádzkové výdavky'!AC5*11.9</f>
        <v>17460870</v>
      </c>
      <c r="AC44" s="122">
        <f>'03 A_Prevádzkové výdavky'!AD5*11.9</f>
        <v>17460870</v>
      </c>
      <c r="AD44" s="122">
        <f>'03 A_Prevádzkové výdavky'!AE5*11.9</f>
        <v>17460870</v>
      </c>
      <c r="AE44" s="122">
        <f>'03 A_Prevádzkové výdavky'!AF5*11.9</f>
        <v>17460870</v>
      </c>
      <c r="AF44" s="122">
        <f>'03 A_Prevádzkové výdavky'!AG5*11.9</f>
        <v>17460870</v>
      </c>
      <c r="AG44" s="122">
        <f>'03 A_Prevádzkové výdavky'!AH5*11.9</f>
        <v>17460870</v>
      </c>
      <c r="AH44" s="122">
        <f>'03 A_Prevádzkové výdavky'!AI5*11.9</f>
        <v>17460870</v>
      </c>
      <c r="AI44" s="122">
        <f>'03 A_Prevádzkové výdavky'!AJ5*11.9</f>
        <v>17460870</v>
      </c>
      <c r="AJ44" s="122">
        <f>'03 A_Prevádzkové výdavky'!AK5*11.9</f>
        <v>17460870</v>
      </c>
      <c r="AK44" s="122">
        <f>'03 A_Prevádzkové výdavky'!AL5*11.9</f>
        <v>17460870</v>
      </c>
      <c r="AL44" s="122">
        <f>'03 A_Prevádzkové výdavky'!AM5*11.9</f>
        <v>17460870</v>
      </c>
    </row>
    <row r="45" spans="2:38" x14ac:dyDescent="0.2">
      <c r="B45" s="33" t="s">
        <v>280</v>
      </c>
      <c r="C45" s="37">
        <f t="shared" si="29"/>
        <v>0</v>
      </c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</row>
    <row r="46" spans="2:38" x14ac:dyDescent="0.2">
      <c r="B46" s="33" t="s">
        <v>232</v>
      </c>
      <c r="C46" s="37">
        <f t="shared" si="29"/>
        <v>100328280</v>
      </c>
      <c r="D46" s="122">
        <v>33442760</v>
      </c>
      <c r="E46" s="122">
        <v>33442760</v>
      </c>
      <c r="F46" s="122">
        <v>33442760</v>
      </c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</row>
    <row r="47" spans="2:38" x14ac:dyDescent="0.2">
      <c r="B47" s="33" t="s">
        <v>233</v>
      </c>
      <c r="C47" s="37">
        <f t="shared" si="29"/>
        <v>0</v>
      </c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</row>
    <row r="48" spans="2:38" x14ac:dyDescent="0.2">
      <c r="B48" s="31"/>
      <c r="C48" s="37">
        <f t="shared" si="29"/>
        <v>0</v>
      </c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</row>
    <row r="49" spans="2:38" x14ac:dyDescent="0.2">
      <c r="B49" s="32" t="s">
        <v>35</v>
      </c>
      <c r="C49" s="123">
        <f t="shared" si="29"/>
        <v>659076120</v>
      </c>
      <c r="D49" s="123">
        <f t="shared" ref="D49:AG49" si="30">SUM(D44:D48)</f>
        <v>33442760</v>
      </c>
      <c r="E49" s="123">
        <f t="shared" si="30"/>
        <v>33442760</v>
      </c>
      <c r="F49" s="123">
        <f t="shared" si="30"/>
        <v>33442760</v>
      </c>
      <c r="G49" s="123">
        <f t="shared" si="30"/>
        <v>17460870</v>
      </c>
      <c r="H49" s="123">
        <f t="shared" si="30"/>
        <v>17460870</v>
      </c>
      <c r="I49" s="123">
        <f t="shared" si="30"/>
        <v>17460870</v>
      </c>
      <c r="J49" s="123">
        <f t="shared" si="30"/>
        <v>17460870</v>
      </c>
      <c r="K49" s="123">
        <f t="shared" si="30"/>
        <v>17460870</v>
      </c>
      <c r="L49" s="123">
        <f t="shared" si="30"/>
        <v>17460870</v>
      </c>
      <c r="M49" s="123">
        <f t="shared" si="30"/>
        <v>17460870</v>
      </c>
      <c r="N49" s="123">
        <f t="shared" si="30"/>
        <v>17460870</v>
      </c>
      <c r="O49" s="123">
        <f t="shared" si="30"/>
        <v>17460870</v>
      </c>
      <c r="P49" s="123">
        <f t="shared" si="30"/>
        <v>17460870</v>
      </c>
      <c r="Q49" s="123">
        <f t="shared" si="30"/>
        <v>17460870</v>
      </c>
      <c r="R49" s="123">
        <f t="shared" si="30"/>
        <v>17460870</v>
      </c>
      <c r="S49" s="123">
        <f t="shared" si="30"/>
        <v>17460870</v>
      </c>
      <c r="T49" s="123">
        <f t="shared" si="30"/>
        <v>17460870</v>
      </c>
      <c r="U49" s="123">
        <f t="shared" si="30"/>
        <v>17460870</v>
      </c>
      <c r="V49" s="123">
        <f t="shared" si="30"/>
        <v>17460870</v>
      </c>
      <c r="W49" s="123">
        <f t="shared" si="30"/>
        <v>17460870</v>
      </c>
      <c r="X49" s="123">
        <f t="shared" si="30"/>
        <v>17460870</v>
      </c>
      <c r="Y49" s="123">
        <f t="shared" si="30"/>
        <v>17460870</v>
      </c>
      <c r="Z49" s="123">
        <f t="shared" si="30"/>
        <v>17460870</v>
      </c>
      <c r="AA49" s="123">
        <f t="shared" si="30"/>
        <v>17460870</v>
      </c>
      <c r="AB49" s="123">
        <f t="shared" si="30"/>
        <v>17460870</v>
      </c>
      <c r="AC49" s="123">
        <f t="shared" si="30"/>
        <v>17460870</v>
      </c>
      <c r="AD49" s="123">
        <f t="shared" si="30"/>
        <v>17460870</v>
      </c>
      <c r="AE49" s="123">
        <f t="shared" si="30"/>
        <v>17460870</v>
      </c>
      <c r="AF49" s="123">
        <f t="shared" si="30"/>
        <v>17460870</v>
      </c>
      <c r="AG49" s="123">
        <f t="shared" si="30"/>
        <v>17460870</v>
      </c>
      <c r="AH49" s="123">
        <f t="shared" ref="AH49:AL49" si="31">SUM(AH44:AH48)</f>
        <v>17460870</v>
      </c>
      <c r="AI49" s="123">
        <f t="shared" si="31"/>
        <v>17460870</v>
      </c>
      <c r="AJ49" s="123">
        <f t="shared" si="31"/>
        <v>17460870</v>
      </c>
      <c r="AK49" s="123">
        <f t="shared" si="31"/>
        <v>17460870</v>
      </c>
      <c r="AL49" s="123">
        <f t="shared" si="31"/>
        <v>17460870</v>
      </c>
    </row>
    <row r="52" spans="2:38" x14ac:dyDescent="0.2">
      <c r="B52" s="765" t="s">
        <v>445</v>
      </c>
      <c r="C52" s="31"/>
      <c r="D52" s="31" t="s">
        <v>10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</row>
    <row r="53" spans="2:38" x14ac:dyDescent="0.2">
      <c r="B53" s="769"/>
      <c r="C53" s="32"/>
      <c r="D53" s="33">
        <v>1</v>
      </c>
      <c r="E53" s="33">
        <v>2</v>
      </c>
      <c r="F53" s="33">
        <v>3</v>
      </c>
      <c r="G53" s="33">
        <v>4</v>
      </c>
      <c r="H53" s="33">
        <v>5</v>
      </c>
      <c r="I53" s="33">
        <v>6</v>
      </c>
      <c r="J53" s="33">
        <v>7</v>
      </c>
      <c r="K53" s="33">
        <v>8</v>
      </c>
      <c r="L53" s="33">
        <v>9</v>
      </c>
      <c r="M53" s="33">
        <v>10</v>
      </c>
      <c r="N53" s="33">
        <v>11</v>
      </c>
      <c r="O53" s="33">
        <v>12</v>
      </c>
      <c r="P53" s="33">
        <v>13</v>
      </c>
      <c r="Q53" s="33">
        <v>14</v>
      </c>
      <c r="R53" s="33">
        <v>15</v>
      </c>
      <c r="S53" s="33">
        <v>16</v>
      </c>
      <c r="T53" s="33">
        <v>17</v>
      </c>
      <c r="U53" s="33">
        <v>18</v>
      </c>
      <c r="V53" s="33">
        <v>19</v>
      </c>
      <c r="W53" s="33">
        <v>20</v>
      </c>
      <c r="X53" s="33">
        <v>21</v>
      </c>
      <c r="Y53" s="33">
        <v>22</v>
      </c>
      <c r="Z53" s="33">
        <v>23</v>
      </c>
      <c r="AA53" s="33">
        <v>24</v>
      </c>
      <c r="AB53" s="33">
        <v>25</v>
      </c>
      <c r="AC53" s="33">
        <v>26</v>
      </c>
      <c r="AD53" s="33">
        <v>27</v>
      </c>
      <c r="AE53" s="33">
        <v>28</v>
      </c>
      <c r="AF53" s="33">
        <v>29</v>
      </c>
      <c r="AG53" s="33">
        <v>30</v>
      </c>
      <c r="AH53" s="33">
        <v>31</v>
      </c>
      <c r="AI53" s="33">
        <v>32</v>
      </c>
      <c r="AJ53" s="33">
        <v>33</v>
      </c>
      <c r="AK53" s="33">
        <v>34</v>
      </c>
      <c r="AL53" s="33">
        <v>35</v>
      </c>
    </row>
    <row r="54" spans="2:38" x14ac:dyDescent="0.2">
      <c r="B54" s="34" t="s">
        <v>63</v>
      </c>
      <c r="C54" s="34" t="s">
        <v>9</v>
      </c>
      <c r="D54" s="35">
        <f t="shared" ref="D54:AG54" si="32">D4</f>
        <v>2025</v>
      </c>
      <c r="E54" s="35">
        <f t="shared" si="32"/>
        <v>2026</v>
      </c>
      <c r="F54" s="35">
        <f t="shared" si="32"/>
        <v>2027</v>
      </c>
      <c r="G54" s="35">
        <f t="shared" si="32"/>
        <v>2028</v>
      </c>
      <c r="H54" s="35">
        <f t="shared" si="32"/>
        <v>2029</v>
      </c>
      <c r="I54" s="35">
        <f t="shared" si="32"/>
        <v>2030</v>
      </c>
      <c r="J54" s="35">
        <f t="shared" si="32"/>
        <v>2031</v>
      </c>
      <c r="K54" s="35">
        <f t="shared" si="32"/>
        <v>2032</v>
      </c>
      <c r="L54" s="35">
        <f t="shared" si="32"/>
        <v>2033</v>
      </c>
      <c r="M54" s="35">
        <f t="shared" si="32"/>
        <v>2034</v>
      </c>
      <c r="N54" s="35">
        <f t="shared" si="32"/>
        <v>2035</v>
      </c>
      <c r="O54" s="35">
        <f t="shared" si="32"/>
        <v>2036</v>
      </c>
      <c r="P54" s="35">
        <f t="shared" si="32"/>
        <v>2037</v>
      </c>
      <c r="Q54" s="35">
        <f t="shared" si="32"/>
        <v>2038</v>
      </c>
      <c r="R54" s="35">
        <f t="shared" si="32"/>
        <v>2039</v>
      </c>
      <c r="S54" s="35">
        <f t="shared" si="32"/>
        <v>2040</v>
      </c>
      <c r="T54" s="35">
        <f t="shared" si="32"/>
        <v>2041</v>
      </c>
      <c r="U54" s="35">
        <f t="shared" si="32"/>
        <v>2042</v>
      </c>
      <c r="V54" s="35">
        <f t="shared" si="32"/>
        <v>2043</v>
      </c>
      <c r="W54" s="35">
        <f t="shared" si="32"/>
        <v>2044</v>
      </c>
      <c r="X54" s="35">
        <f t="shared" si="32"/>
        <v>2045</v>
      </c>
      <c r="Y54" s="35">
        <f t="shared" si="32"/>
        <v>2046</v>
      </c>
      <c r="Z54" s="35">
        <f t="shared" si="32"/>
        <v>2047</v>
      </c>
      <c r="AA54" s="35">
        <f t="shared" si="32"/>
        <v>2048</v>
      </c>
      <c r="AB54" s="35">
        <f t="shared" si="32"/>
        <v>2049</v>
      </c>
      <c r="AC54" s="35">
        <f t="shared" si="32"/>
        <v>2050</v>
      </c>
      <c r="AD54" s="35">
        <f t="shared" si="32"/>
        <v>2051</v>
      </c>
      <c r="AE54" s="35">
        <f t="shared" si="32"/>
        <v>2052</v>
      </c>
      <c r="AF54" s="35">
        <f t="shared" si="32"/>
        <v>2053</v>
      </c>
      <c r="AG54" s="35">
        <f t="shared" si="32"/>
        <v>2054</v>
      </c>
      <c r="AH54" s="35">
        <f t="shared" ref="AH54:AL54" si="33">AH4</f>
        <v>2055</v>
      </c>
      <c r="AI54" s="35">
        <f t="shared" si="33"/>
        <v>2056</v>
      </c>
      <c r="AJ54" s="35">
        <f t="shared" si="33"/>
        <v>2057</v>
      </c>
      <c r="AK54" s="35">
        <f t="shared" si="33"/>
        <v>2058</v>
      </c>
      <c r="AL54" s="35">
        <f t="shared" si="33"/>
        <v>2059</v>
      </c>
    </row>
    <row r="55" spans="2:38" x14ac:dyDescent="0.2">
      <c r="B55" s="33" t="s">
        <v>223</v>
      </c>
      <c r="C55" s="37">
        <f t="shared" ref="C55:C61" si="34">SUM(D55:AL55)</f>
        <v>-558747840</v>
      </c>
      <c r="D55" s="37">
        <f t="shared" ref="D55:AG55" si="35">D33-D44</f>
        <v>0</v>
      </c>
      <c r="E55" s="37">
        <f t="shared" si="35"/>
        <v>0</v>
      </c>
      <c r="F55" s="37">
        <f t="shared" si="35"/>
        <v>0</v>
      </c>
      <c r="G55" s="37">
        <f t="shared" si="35"/>
        <v>-17460870</v>
      </c>
      <c r="H55" s="37">
        <f t="shared" si="35"/>
        <v>-17460870</v>
      </c>
      <c r="I55" s="37">
        <f t="shared" si="35"/>
        <v>-17460870</v>
      </c>
      <c r="J55" s="37">
        <f t="shared" si="35"/>
        <v>-17460870</v>
      </c>
      <c r="K55" s="37">
        <f t="shared" si="35"/>
        <v>-17460870</v>
      </c>
      <c r="L55" s="37">
        <f t="shared" si="35"/>
        <v>-17460870</v>
      </c>
      <c r="M55" s="37">
        <f t="shared" si="35"/>
        <v>-17460870</v>
      </c>
      <c r="N55" s="37">
        <f t="shared" si="35"/>
        <v>-17460870</v>
      </c>
      <c r="O55" s="37">
        <f t="shared" si="35"/>
        <v>-17460870</v>
      </c>
      <c r="P55" s="37">
        <f t="shared" si="35"/>
        <v>-17460870</v>
      </c>
      <c r="Q55" s="37">
        <f t="shared" si="35"/>
        <v>-17460870</v>
      </c>
      <c r="R55" s="37">
        <f t="shared" si="35"/>
        <v>-17460870</v>
      </c>
      <c r="S55" s="37">
        <f t="shared" si="35"/>
        <v>-17460870</v>
      </c>
      <c r="T55" s="37">
        <f t="shared" si="35"/>
        <v>-17460870</v>
      </c>
      <c r="U55" s="37">
        <f t="shared" si="35"/>
        <v>-17460870</v>
      </c>
      <c r="V55" s="37">
        <f t="shared" si="35"/>
        <v>-17460870</v>
      </c>
      <c r="W55" s="37">
        <f t="shared" si="35"/>
        <v>-17460870</v>
      </c>
      <c r="X55" s="37">
        <f t="shared" si="35"/>
        <v>-17460870</v>
      </c>
      <c r="Y55" s="37">
        <f t="shared" si="35"/>
        <v>-17460870</v>
      </c>
      <c r="Z55" s="37">
        <f t="shared" si="35"/>
        <v>-17460870</v>
      </c>
      <c r="AA55" s="37">
        <f t="shared" si="35"/>
        <v>-17460870</v>
      </c>
      <c r="AB55" s="37">
        <f t="shared" si="35"/>
        <v>-17460870</v>
      </c>
      <c r="AC55" s="37">
        <f t="shared" si="35"/>
        <v>-17460870</v>
      </c>
      <c r="AD55" s="37">
        <f t="shared" si="35"/>
        <v>-17460870</v>
      </c>
      <c r="AE55" s="37">
        <f t="shared" si="35"/>
        <v>-17460870</v>
      </c>
      <c r="AF55" s="37">
        <f t="shared" si="35"/>
        <v>-17460870</v>
      </c>
      <c r="AG55" s="37">
        <f t="shared" si="35"/>
        <v>-17460870</v>
      </c>
      <c r="AH55" s="37">
        <f t="shared" ref="AH55:AL55" si="36">AH33-AH44</f>
        <v>-17460870</v>
      </c>
      <c r="AI55" s="37">
        <f t="shared" si="36"/>
        <v>-17460870</v>
      </c>
      <c r="AJ55" s="37">
        <f t="shared" si="36"/>
        <v>-17460870</v>
      </c>
      <c r="AK55" s="37">
        <f t="shared" si="36"/>
        <v>-17460870</v>
      </c>
      <c r="AL55" s="37">
        <f t="shared" si="36"/>
        <v>-17460870</v>
      </c>
    </row>
    <row r="56" spans="2:38" x14ac:dyDescent="0.2">
      <c r="B56" s="33" t="s">
        <v>280</v>
      </c>
      <c r="C56" s="37">
        <f t="shared" si="34"/>
        <v>0</v>
      </c>
      <c r="D56" s="37">
        <f t="shared" ref="D56:AG56" si="37">D34-D45</f>
        <v>0</v>
      </c>
      <c r="E56" s="37">
        <f t="shared" si="37"/>
        <v>0</v>
      </c>
      <c r="F56" s="37">
        <f t="shared" si="37"/>
        <v>0</v>
      </c>
      <c r="G56" s="37">
        <f t="shared" si="37"/>
        <v>0</v>
      </c>
      <c r="H56" s="37">
        <f t="shared" si="37"/>
        <v>0</v>
      </c>
      <c r="I56" s="37">
        <f t="shared" si="37"/>
        <v>0</v>
      </c>
      <c r="J56" s="37">
        <f t="shared" si="37"/>
        <v>0</v>
      </c>
      <c r="K56" s="37">
        <f t="shared" si="37"/>
        <v>0</v>
      </c>
      <c r="L56" s="37">
        <f t="shared" si="37"/>
        <v>0</v>
      </c>
      <c r="M56" s="37">
        <f t="shared" si="37"/>
        <v>0</v>
      </c>
      <c r="N56" s="37">
        <f t="shared" si="37"/>
        <v>0</v>
      </c>
      <c r="O56" s="37">
        <f t="shared" si="37"/>
        <v>0</v>
      </c>
      <c r="P56" s="37">
        <f t="shared" si="37"/>
        <v>0</v>
      </c>
      <c r="Q56" s="37">
        <f t="shared" si="37"/>
        <v>0</v>
      </c>
      <c r="R56" s="37">
        <f t="shared" si="37"/>
        <v>0</v>
      </c>
      <c r="S56" s="37">
        <f t="shared" si="37"/>
        <v>0</v>
      </c>
      <c r="T56" s="37">
        <f t="shared" si="37"/>
        <v>0</v>
      </c>
      <c r="U56" s="37">
        <f t="shared" si="37"/>
        <v>0</v>
      </c>
      <c r="V56" s="37">
        <f t="shared" si="37"/>
        <v>0</v>
      </c>
      <c r="W56" s="37">
        <f t="shared" si="37"/>
        <v>0</v>
      </c>
      <c r="X56" s="37">
        <f t="shared" si="37"/>
        <v>0</v>
      </c>
      <c r="Y56" s="37">
        <f t="shared" si="37"/>
        <v>0</v>
      </c>
      <c r="Z56" s="37">
        <f t="shared" si="37"/>
        <v>0</v>
      </c>
      <c r="AA56" s="37">
        <f t="shared" si="37"/>
        <v>0</v>
      </c>
      <c r="AB56" s="37">
        <f t="shared" si="37"/>
        <v>0</v>
      </c>
      <c r="AC56" s="37">
        <f t="shared" si="37"/>
        <v>0</v>
      </c>
      <c r="AD56" s="37">
        <f t="shared" si="37"/>
        <v>0</v>
      </c>
      <c r="AE56" s="37">
        <f t="shared" si="37"/>
        <v>0</v>
      </c>
      <c r="AF56" s="37">
        <f t="shared" si="37"/>
        <v>0</v>
      </c>
      <c r="AG56" s="37">
        <f t="shared" si="37"/>
        <v>0</v>
      </c>
      <c r="AH56" s="37">
        <f t="shared" ref="AH56:AL56" si="38">AH34-AH45</f>
        <v>0</v>
      </c>
      <c r="AI56" s="37">
        <f t="shared" si="38"/>
        <v>0</v>
      </c>
      <c r="AJ56" s="37">
        <f t="shared" si="38"/>
        <v>0</v>
      </c>
      <c r="AK56" s="37">
        <f t="shared" si="38"/>
        <v>0</v>
      </c>
      <c r="AL56" s="37">
        <f t="shared" si="38"/>
        <v>0</v>
      </c>
    </row>
    <row r="57" spans="2:38" x14ac:dyDescent="0.2">
      <c r="B57" s="33" t="s">
        <v>232</v>
      </c>
      <c r="C57" s="37">
        <f t="shared" si="34"/>
        <v>1070168320</v>
      </c>
      <c r="D57" s="37">
        <f t="shared" ref="D57:AG57" si="39">D35-D46</f>
        <v>0</v>
      </c>
      <c r="E57" s="37">
        <f t="shared" si="39"/>
        <v>0</v>
      </c>
      <c r="F57" s="37">
        <f t="shared" si="39"/>
        <v>0</v>
      </c>
      <c r="G57" s="37">
        <f t="shared" si="39"/>
        <v>33442760</v>
      </c>
      <c r="H57" s="37">
        <f t="shared" si="39"/>
        <v>33442760</v>
      </c>
      <c r="I57" s="37">
        <f t="shared" si="39"/>
        <v>33442760</v>
      </c>
      <c r="J57" s="37">
        <f t="shared" si="39"/>
        <v>33442760</v>
      </c>
      <c r="K57" s="37">
        <f t="shared" si="39"/>
        <v>33442760</v>
      </c>
      <c r="L57" s="37">
        <f t="shared" si="39"/>
        <v>33442760</v>
      </c>
      <c r="M57" s="37">
        <f t="shared" si="39"/>
        <v>33442760</v>
      </c>
      <c r="N57" s="37">
        <f t="shared" si="39"/>
        <v>33442760</v>
      </c>
      <c r="O57" s="37">
        <f t="shared" si="39"/>
        <v>33442760</v>
      </c>
      <c r="P57" s="37">
        <f t="shared" si="39"/>
        <v>33442760</v>
      </c>
      <c r="Q57" s="37">
        <f t="shared" si="39"/>
        <v>33442760</v>
      </c>
      <c r="R57" s="37">
        <f t="shared" si="39"/>
        <v>33442760</v>
      </c>
      <c r="S57" s="37">
        <f t="shared" si="39"/>
        <v>33442760</v>
      </c>
      <c r="T57" s="37">
        <f t="shared" si="39"/>
        <v>33442760</v>
      </c>
      <c r="U57" s="37">
        <f t="shared" si="39"/>
        <v>33442760</v>
      </c>
      <c r="V57" s="37">
        <f t="shared" si="39"/>
        <v>33442760</v>
      </c>
      <c r="W57" s="37">
        <f t="shared" si="39"/>
        <v>33442760</v>
      </c>
      <c r="X57" s="37">
        <f t="shared" si="39"/>
        <v>33442760</v>
      </c>
      <c r="Y57" s="37">
        <f t="shared" si="39"/>
        <v>33442760</v>
      </c>
      <c r="Z57" s="37">
        <f t="shared" si="39"/>
        <v>33442760</v>
      </c>
      <c r="AA57" s="37">
        <f t="shared" si="39"/>
        <v>33442760</v>
      </c>
      <c r="AB57" s="37">
        <f t="shared" si="39"/>
        <v>33442760</v>
      </c>
      <c r="AC57" s="37">
        <f t="shared" si="39"/>
        <v>33442760</v>
      </c>
      <c r="AD57" s="37">
        <f t="shared" si="39"/>
        <v>33442760</v>
      </c>
      <c r="AE57" s="37">
        <f t="shared" si="39"/>
        <v>33442760</v>
      </c>
      <c r="AF57" s="37">
        <f t="shared" si="39"/>
        <v>33442760</v>
      </c>
      <c r="AG57" s="37">
        <f t="shared" si="39"/>
        <v>33442760</v>
      </c>
      <c r="AH57" s="37">
        <f t="shared" ref="AH57:AL57" si="40">AH35-AH46</f>
        <v>33442760</v>
      </c>
      <c r="AI57" s="37">
        <f t="shared" si="40"/>
        <v>33442760</v>
      </c>
      <c r="AJ57" s="37">
        <f t="shared" si="40"/>
        <v>33442760</v>
      </c>
      <c r="AK57" s="37">
        <f t="shared" si="40"/>
        <v>33442760</v>
      </c>
      <c r="AL57" s="37">
        <f t="shared" si="40"/>
        <v>33442760</v>
      </c>
    </row>
    <row r="58" spans="2:38" x14ac:dyDescent="0.2">
      <c r="B58" s="33" t="s">
        <v>233</v>
      </c>
      <c r="C58" s="37">
        <f t="shared" si="34"/>
        <v>0</v>
      </c>
      <c r="D58" s="37">
        <f>D36-D47</f>
        <v>0</v>
      </c>
      <c r="E58" s="37">
        <f t="shared" ref="E58:AG58" si="41">E36-E47</f>
        <v>0</v>
      </c>
      <c r="F58" s="37">
        <f t="shared" si="41"/>
        <v>0</v>
      </c>
      <c r="G58" s="37">
        <f t="shared" si="41"/>
        <v>0</v>
      </c>
      <c r="H58" s="37">
        <f t="shared" si="41"/>
        <v>0</v>
      </c>
      <c r="I58" s="37">
        <f t="shared" si="41"/>
        <v>0</v>
      </c>
      <c r="J58" s="37">
        <f t="shared" si="41"/>
        <v>0</v>
      </c>
      <c r="K58" s="37">
        <f t="shared" si="41"/>
        <v>0</v>
      </c>
      <c r="L58" s="37">
        <f t="shared" si="41"/>
        <v>0</v>
      </c>
      <c r="M58" s="37">
        <f t="shared" si="41"/>
        <v>0</v>
      </c>
      <c r="N58" s="37">
        <f t="shared" si="41"/>
        <v>0</v>
      </c>
      <c r="O58" s="37">
        <f t="shared" si="41"/>
        <v>0</v>
      </c>
      <c r="P58" s="37">
        <f t="shared" si="41"/>
        <v>0</v>
      </c>
      <c r="Q58" s="37">
        <f t="shared" si="41"/>
        <v>0</v>
      </c>
      <c r="R58" s="37">
        <f t="shared" si="41"/>
        <v>0</v>
      </c>
      <c r="S58" s="37">
        <f t="shared" si="41"/>
        <v>0</v>
      </c>
      <c r="T58" s="37">
        <f t="shared" si="41"/>
        <v>0</v>
      </c>
      <c r="U58" s="37">
        <f t="shared" si="41"/>
        <v>0</v>
      </c>
      <c r="V58" s="37">
        <f t="shared" si="41"/>
        <v>0</v>
      </c>
      <c r="W58" s="37">
        <f t="shared" si="41"/>
        <v>0</v>
      </c>
      <c r="X58" s="37">
        <f t="shared" si="41"/>
        <v>0</v>
      </c>
      <c r="Y58" s="37">
        <f t="shared" si="41"/>
        <v>0</v>
      </c>
      <c r="Z58" s="37">
        <f t="shared" si="41"/>
        <v>0</v>
      </c>
      <c r="AA58" s="37">
        <f t="shared" si="41"/>
        <v>0</v>
      </c>
      <c r="AB58" s="37">
        <f t="shared" si="41"/>
        <v>0</v>
      </c>
      <c r="AC58" s="37">
        <f t="shared" si="41"/>
        <v>0</v>
      </c>
      <c r="AD58" s="37">
        <f t="shared" si="41"/>
        <v>0</v>
      </c>
      <c r="AE58" s="37">
        <f t="shared" si="41"/>
        <v>0</v>
      </c>
      <c r="AF58" s="37">
        <f t="shared" si="41"/>
        <v>0</v>
      </c>
      <c r="AG58" s="37">
        <f t="shared" si="41"/>
        <v>0</v>
      </c>
      <c r="AH58" s="37">
        <f t="shared" ref="AH58:AL58" si="42">AH36-AH47</f>
        <v>0</v>
      </c>
      <c r="AI58" s="37">
        <f t="shared" si="42"/>
        <v>0</v>
      </c>
      <c r="AJ58" s="37">
        <f t="shared" si="42"/>
        <v>0</v>
      </c>
      <c r="AK58" s="37">
        <f t="shared" si="42"/>
        <v>0</v>
      </c>
      <c r="AL58" s="37">
        <f t="shared" si="42"/>
        <v>0</v>
      </c>
    </row>
    <row r="59" spans="2:38" x14ac:dyDescent="0.2">
      <c r="B59" s="31"/>
      <c r="C59" s="37">
        <f t="shared" si="34"/>
        <v>0</v>
      </c>
      <c r="D59" s="37">
        <f>D37-D48</f>
        <v>0</v>
      </c>
      <c r="E59" s="37">
        <f t="shared" ref="E59:AG59" si="43">E37-E48</f>
        <v>0</v>
      </c>
      <c r="F59" s="37">
        <f t="shared" si="43"/>
        <v>0</v>
      </c>
      <c r="G59" s="37">
        <f t="shared" si="43"/>
        <v>0</v>
      </c>
      <c r="H59" s="37">
        <f t="shared" si="43"/>
        <v>0</v>
      </c>
      <c r="I59" s="37">
        <f t="shared" si="43"/>
        <v>0</v>
      </c>
      <c r="J59" s="37">
        <f t="shared" si="43"/>
        <v>0</v>
      </c>
      <c r="K59" s="37">
        <f t="shared" si="43"/>
        <v>0</v>
      </c>
      <c r="L59" s="37">
        <f t="shared" si="43"/>
        <v>0</v>
      </c>
      <c r="M59" s="37">
        <f t="shared" si="43"/>
        <v>0</v>
      </c>
      <c r="N59" s="37">
        <f t="shared" si="43"/>
        <v>0</v>
      </c>
      <c r="O59" s="37">
        <f t="shared" si="43"/>
        <v>0</v>
      </c>
      <c r="P59" s="37">
        <f t="shared" si="43"/>
        <v>0</v>
      </c>
      <c r="Q59" s="37">
        <f t="shared" si="43"/>
        <v>0</v>
      </c>
      <c r="R59" s="37">
        <f t="shared" si="43"/>
        <v>0</v>
      </c>
      <c r="S59" s="37">
        <f t="shared" si="43"/>
        <v>0</v>
      </c>
      <c r="T59" s="37">
        <f t="shared" si="43"/>
        <v>0</v>
      </c>
      <c r="U59" s="37">
        <f t="shared" si="43"/>
        <v>0</v>
      </c>
      <c r="V59" s="37">
        <f t="shared" si="43"/>
        <v>0</v>
      </c>
      <c r="W59" s="37">
        <f t="shared" si="43"/>
        <v>0</v>
      </c>
      <c r="X59" s="37">
        <f t="shared" si="43"/>
        <v>0</v>
      </c>
      <c r="Y59" s="37">
        <f t="shared" si="43"/>
        <v>0</v>
      </c>
      <c r="Z59" s="37">
        <f t="shared" si="43"/>
        <v>0</v>
      </c>
      <c r="AA59" s="37">
        <f t="shared" si="43"/>
        <v>0</v>
      </c>
      <c r="AB59" s="37">
        <f t="shared" si="43"/>
        <v>0</v>
      </c>
      <c r="AC59" s="37">
        <f t="shared" si="43"/>
        <v>0</v>
      </c>
      <c r="AD59" s="37">
        <f t="shared" si="43"/>
        <v>0</v>
      </c>
      <c r="AE59" s="37">
        <f t="shared" si="43"/>
        <v>0</v>
      </c>
      <c r="AF59" s="37">
        <f t="shared" si="43"/>
        <v>0</v>
      </c>
      <c r="AG59" s="37">
        <f t="shared" si="43"/>
        <v>0</v>
      </c>
      <c r="AH59" s="37">
        <f t="shared" ref="AH59:AL59" si="44">AH37-AH48</f>
        <v>0</v>
      </c>
      <c r="AI59" s="37">
        <f t="shared" si="44"/>
        <v>0</v>
      </c>
      <c r="AJ59" s="37">
        <f t="shared" si="44"/>
        <v>0</v>
      </c>
      <c r="AK59" s="37">
        <f t="shared" si="44"/>
        <v>0</v>
      </c>
      <c r="AL59" s="37">
        <f t="shared" si="44"/>
        <v>0</v>
      </c>
    </row>
    <row r="60" spans="2:38" x14ac:dyDescent="0.2">
      <c r="B60" s="167" t="s">
        <v>256</v>
      </c>
      <c r="C60" s="164">
        <f t="shared" si="34"/>
        <v>511420480</v>
      </c>
      <c r="D60" s="164">
        <f t="shared" ref="D60:AL60" si="45">SUM(D55:D59)</f>
        <v>0</v>
      </c>
      <c r="E60" s="164">
        <f t="shared" si="45"/>
        <v>0</v>
      </c>
      <c r="F60" s="164">
        <f t="shared" si="45"/>
        <v>0</v>
      </c>
      <c r="G60" s="164">
        <f t="shared" si="45"/>
        <v>15981890</v>
      </c>
      <c r="H60" s="164">
        <f t="shared" si="45"/>
        <v>15981890</v>
      </c>
      <c r="I60" s="164">
        <f t="shared" si="45"/>
        <v>15981890</v>
      </c>
      <c r="J60" s="164">
        <f t="shared" si="45"/>
        <v>15981890</v>
      </c>
      <c r="K60" s="164">
        <f t="shared" si="45"/>
        <v>15981890</v>
      </c>
      <c r="L60" s="164">
        <f t="shared" si="45"/>
        <v>15981890</v>
      </c>
      <c r="M60" s="164">
        <f t="shared" si="45"/>
        <v>15981890</v>
      </c>
      <c r="N60" s="164">
        <f t="shared" si="45"/>
        <v>15981890</v>
      </c>
      <c r="O60" s="164">
        <f t="shared" si="45"/>
        <v>15981890</v>
      </c>
      <c r="P60" s="164">
        <f t="shared" si="45"/>
        <v>15981890</v>
      </c>
      <c r="Q60" s="164">
        <f t="shared" si="45"/>
        <v>15981890</v>
      </c>
      <c r="R60" s="164">
        <f t="shared" si="45"/>
        <v>15981890</v>
      </c>
      <c r="S60" s="164">
        <f t="shared" si="45"/>
        <v>15981890</v>
      </c>
      <c r="T60" s="164">
        <f t="shared" si="45"/>
        <v>15981890</v>
      </c>
      <c r="U60" s="164">
        <f t="shared" si="45"/>
        <v>15981890</v>
      </c>
      <c r="V60" s="164">
        <f t="shared" si="45"/>
        <v>15981890</v>
      </c>
      <c r="W60" s="164">
        <f t="shared" si="45"/>
        <v>15981890</v>
      </c>
      <c r="X60" s="164">
        <f t="shared" si="45"/>
        <v>15981890</v>
      </c>
      <c r="Y60" s="164">
        <f t="shared" si="45"/>
        <v>15981890</v>
      </c>
      <c r="Z60" s="164">
        <f t="shared" si="45"/>
        <v>15981890</v>
      </c>
      <c r="AA60" s="164">
        <f t="shared" si="45"/>
        <v>15981890</v>
      </c>
      <c r="AB60" s="164">
        <f t="shared" si="45"/>
        <v>15981890</v>
      </c>
      <c r="AC60" s="164">
        <f t="shared" si="45"/>
        <v>15981890</v>
      </c>
      <c r="AD60" s="164">
        <f t="shared" si="45"/>
        <v>15981890</v>
      </c>
      <c r="AE60" s="164">
        <f t="shared" si="45"/>
        <v>15981890</v>
      </c>
      <c r="AF60" s="164">
        <f t="shared" si="45"/>
        <v>15981890</v>
      </c>
      <c r="AG60" s="164">
        <f t="shared" si="45"/>
        <v>15981890</v>
      </c>
      <c r="AH60" s="164">
        <f t="shared" si="45"/>
        <v>15981890</v>
      </c>
      <c r="AI60" s="164">
        <f t="shared" si="45"/>
        <v>15981890</v>
      </c>
      <c r="AJ60" s="164">
        <f t="shared" si="45"/>
        <v>15981890</v>
      </c>
      <c r="AK60" s="164">
        <f t="shared" si="45"/>
        <v>15981890</v>
      </c>
      <c r="AL60" s="164">
        <f t="shared" si="45"/>
        <v>15981890</v>
      </c>
    </row>
    <row r="61" spans="2:38" x14ac:dyDescent="0.2">
      <c r="B61" s="170" t="s">
        <v>396</v>
      </c>
      <c r="C61" s="168">
        <f t="shared" si="34"/>
        <v>107398300.80000006</v>
      </c>
      <c r="D61" s="168">
        <f>D60*Parametre!$C$112/1000</f>
        <v>0</v>
      </c>
      <c r="E61" s="168">
        <f>E60*Parametre!$C$112/1000</f>
        <v>0</v>
      </c>
      <c r="F61" s="168">
        <f>F60*Parametre!$C$112/1000</f>
        <v>0</v>
      </c>
      <c r="G61" s="168">
        <f>G60*Parametre!$C$112/1000</f>
        <v>3356196.9</v>
      </c>
      <c r="H61" s="168">
        <f>H60*Parametre!$C$112/1000</f>
        <v>3356196.9</v>
      </c>
      <c r="I61" s="168">
        <f>I60*Parametre!$C$112/1000</f>
        <v>3356196.9</v>
      </c>
      <c r="J61" s="168">
        <f>J60*Parametre!$C$112/1000</f>
        <v>3356196.9</v>
      </c>
      <c r="K61" s="168">
        <f>K60*Parametre!$C$112/1000</f>
        <v>3356196.9</v>
      </c>
      <c r="L61" s="168">
        <f>L60*Parametre!$C$112/1000</f>
        <v>3356196.9</v>
      </c>
      <c r="M61" s="168">
        <f>M60*Parametre!$C$112/1000</f>
        <v>3356196.9</v>
      </c>
      <c r="N61" s="168">
        <f>N60*Parametre!$C$112/1000</f>
        <v>3356196.9</v>
      </c>
      <c r="O61" s="168">
        <f>O60*Parametre!$C$112/1000</f>
        <v>3356196.9</v>
      </c>
      <c r="P61" s="168">
        <f>P60*Parametre!$C$112/1000</f>
        <v>3356196.9</v>
      </c>
      <c r="Q61" s="168">
        <f>Q60*Parametre!$C$112/1000</f>
        <v>3356196.9</v>
      </c>
      <c r="R61" s="168">
        <f>R60*Parametre!$C$112/1000</f>
        <v>3356196.9</v>
      </c>
      <c r="S61" s="168">
        <f>S60*Parametre!$C$112/1000</f>
        <v>3356196.9</v>
      </c>
      <c r="T61" s="168">
        <f>T60*Parametre!$C$112/1000</f>
        <v>3356196.9</v>
      </c>
      <c r="U61" s="168">
        <f>U60*Parametre!$C$112/1000</f>
        <v>3356196.9</v>
      </c>
      <c r="V61" s="168">
        <f>V60*Parametre!$C$112/1000</f>
        <v>3356196.9</v>
      </c>
      <c r="W61" s="168">
        <f>W60*Parametre!$C$112/1000</f>
        <v>3356196.9</v>
      </c>
      <c r="X61" s="168">
        <f>X60*Parametre!$C$112/1000</f>
        <v>3356196.9</v>
      </c>
      <c r="Y61" s="168">
        <f>Y60*Parametre!$C$112/1000</f>
        <v>3356196.9</v>
      </c>
      <c r="Z61" s="168">
        <f>Z60*Parametre!$C$112/1000</f>
        <v>3356196.9</v>
      </c>
      <c r="AA61" s="168">
        <f>AA60*Parametre!$C$112/1000</f>
        <v>3356196.9</v>
      </c>
      <c r="AB61" s="168">
        <f>AB60*Parametre!$C$112/1000</f>
        <v>3356196.9</v>
      </c>
      <c r="AC61" s="168">
        <f>AC60*Parametre!$C$112/1000</f>
        <v>3356196.9</v>
      </c>
      <c r="AD61" s="168">
        <f>AD60*Parametre!$C$112/1000</f>
        <v>3356196.9</v>
      </c>
      <c r="AE61" s="168">
        <f>AE60*Parametre!$C$112/1000</f>
        <v>3356196.9</v>
      </c>
      <c r="AF61" s="168">
        <f>AF60*Parametre!$C$112/1000</f>
        <v>3356196.9</v>
      </c>
      <c r="AG61" s="168">
        <f>AG60*Parametre!$C$112/1000</f>
        <v>3356196.9</v>
      </c>
      <c r="AH61" s="168">
        <f>AH60*Parametre!$C$112/1000</f>
        <v>3356196.9</v>
      </c>
      <c r="AI61" s="168">
        <f>AI60*Parametre!$C$112/1000</f>
        <v>3356196.9</v>
      </c>
      <c r="AJ61" s="168">
        <f>AJ60*Parametre!$C$112/1000</f>
        <v>3356196.9</v>
      </c>
      <c r="AK61" s="168">
        <f>AK60*Parametre!$C$112/1000</f>
        <v>3356196.9</v>
      </c>
      <c r="AL61" s="168">
        <f>AL60*Parametre!$C$112/1000</f>
        <v>3356196.9</v>
      </c>
    </row>
    <row r="62" spans="2:38" x14ac:dyDescent="0.2">
      <c r="B62" s="36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</row>
    <row r="63" spans="2:38" x14ac:dyDescent="0.2">
      <c r="B63" s="30" t="s">
        <v>2</v>
      </c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</row>
    <row r="64" spans="2:38" x14ac:dyDescent="0.2">
      <c r="B64" s="30" t="s">
        <v>257</v>
      </c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</row>
    <row r="65" spans="2:38" x14ac:dyDescent="0.2">
      <c r="B65" s="36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</row>
    <row r="66" spans="2:38" x14ac:dyDescent="0.2">
      <c r="B66" s="167" t="s">
        <v>397</v>
      </c>
      <c r="C66" s="164">
        <f>SUM(D66:AL66)</f>
        <v>107398300.80000006</v>
      </c>
      <c r="D66" s="164">
        <f>D61+D27</f>
        <v>0</v>
      </c>
      <c r="E66" s="164">
        <f t="shared" ref="E66:AG66" si="46">E61+E27</f>
        <v>0</v>
      </c>
      <c r="F66" s="164">
        <f t="shared" si="46"/>
        <v>0</v>
      </c>
      <c r="G66" s="164">
        <f t="shared" si="46"/>
        <v>3356196.9</v>
      </c>
      <c r="H66" s="164">
        <f t="shared" si="46"/>
        <v>3356196.9</v>
      </c>
      <c r="I66" s="164">
        <f t="shared" si="46"/>
        <v>3356196.9</v>
      </c>
      <c r="J66" s="164">
        <f t="shared" si="46"/>
        <v>3356196.9</v>
      </c>
      <c r="K66" s="164">
        <f t="shared" si="46"/>
        <v>3356196.9</v>
      </c>
      <c r="L66" s="164">
        <f t="shared" si="46"/>
        <v>3356196.9</v>
      </c>
      <c r="M66" s="164">
        <f t="shared" si="46"/>
        <v>3356196.9</v>
      </c>
      <c r="N66" s="164">
        <f t="shared" si="46"/>
        <v>3356196.9</v>
      </c>
      <c r="O66" s="164">
        <f t="shared" si="46"/>
        <v>3356196.9</v>
      </c>
      <c r="P66" s="164">
        <f t="shared" si="46"/>
        <v>3356196.9</v>
      </c>
      <c r="Q66" s="164">
        <f t="shared" si="46"/>
        <v>3356196.9</v>
      </c>
      <c r="R66" s="164">
        <f t="shared" si="46"/>
        <v>3356196.9</v>
      </c>
      <c r="S66" s="164">
        <f t="shared" si="46"/>
        <v>3356196.9</v>
      </c>
      <c r="T66" s="164">
        <f t="shared" si="46"/>
        <v>3356196.9</v>
      </c>
      <c r="U66" s="164">
        <f t="shared" si="46"/>
        <v>3356196.9</v>
      </c>
      <c r="V66" s="164">
        <f t="shared" si="46"/>
        <v>3356196.9</v>
      </c>
      <c r="W66" s="164">
        <f t="shared" si="46"/>
        <v>3356196.9</v>
      </c>
      <c r="X66" s="164">
        <f t="shared" si="46"/>
        <v>3356196.9</v>
      </c>
      <c r="Y66" s="164">
        <f t="shared" si="46"/>
        <v>3356196.9</v>
      </c>
      <c r="Z66" s="164">
        <f t="shared" si="46"/>
        <v>3356196.9</v>
      </c>
      <c r="AA66" s="164">
        <f t="shared" si="46"/>
        <v>3356196.9</v>
      </c>
      <c r="AB66" s="164">
        <f t="shared" si="46"/>
        <v>3356196.9</v>
      </c>
      <c r="AC66" s="164">
        <f t="shared" si="46"/>
        <v>3356196.9</v>
      </c>
      <c r="AD66" s="164">
        <f t="shared" si="46"/>
        <v>3356196.9</v>
      </c>
      <c r="AE66" s="164">
        <f t="shared" si="46"/>
        <v>3356196.9</v>
      </c>
      <c r="AF66" s="164">
        <f t="shared" si="46"/>
        <v>3356196.9</v>
      </c>
      <c r="AG66" s="164">
        <f t="shared" si="46"/>
        <v>3356196.9</v>
      </c>
      <c r="AH66" s="164">
        <f t="shared" ref="AH66:AL66" si="47">AH61+AH27</f>
        <v>3356196.9</v>
      </c>
      <c r="AI66" s="164">
        <f t="shared" si="47"/>
        <v>3356196.9</v>
      </c>
      <c r="AJ66" s="164">
        <f t="shared" si="47"/>
        <v>3356196.9</v>
      </c>
      <c r="AK66" s="164">
        <f t="shared" si="47"/>
        <v>3356196.9</v>
      </c>
      <c r="AL66" s="164">
        <f t="shared" si="47"/>
        <v>3356196.9</v>
      </c>
    </row>
    <row r="67" spans="2:38" x14ac:dyDescent="0.2">
      <c r="B67" s="36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</row>
    <row r="69" spans="2:38" x14ac:dyDescent="0.2">
      <c r="B69" s="124"/>
      <c r="C69" s="31"/>
      <c r="D69" s="31" t="s">
        <v>10</v>
      </c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</row>
    <row r="70" spans="2:38" x14ac:dyDescent="0.2">
      <c r="B70" s="765" t="s">
        <v>446</v>
      </c>
      <c r="C70" s="32"/>
      <c r="D70" s="33">
        <v>1</v>
      </c>
      <c r="E70" s="33">
        <v>2</v>
      </c>
      <c r="F70" s="33">
        <v>3</v>
      </c>
      <c r="G70" s="33">
        <v>4</v>
      </c>
      <c r="H70" s="33">
        <v>5</v>
      </c>
      <c r="I70" s="33">
        <v>6</v>
      </c>
      <c r="J70" s="33">
        <v>7</v>
      </c>
      <c r="K70" s="33">
        <v>8</v>
      </c>
      <c r="L70" s="33">
        <v>9</v>
      </c>
      <c r="M70" s="33">
        <v>10</v>
      </c>
      <c r="N70" s="33">
        <v>11</v>
      </c>
      <c r="O70" s="33">
        <v>12</v>
      </c>
      <c r="P70" s="33">
        <v>13</v>
      </c>
      <c r="Q70" s="33">
        <v>14</v>
      </c>
      <c r="R70" s="33">
        <v>15</v>
      </c>
      <c r="S70" s="33">
        <v>16</v>
      </c>
      <c r="T70" s="33">
        <v>17</v>
      </c>
      <c r="U70" s="33">
        <v>18</v>
      </c>
      <c r="V70" s="33">
        <v>19</v>
      </c>
      <c r="W70" s="33">
        <v>20</v>
      </c>
      <c r="X70" s="33">
        <v>21</v>
      </c>
      <c r="Y70" s="33">
        <v>22</v>
      </c>
      <c r="Z70" s="33">
        <v>23</v>
      </c>
      <c r="AA70" s="33">
        <v>24</v>
      </c>
      <c r="AB70" s="33">
        <v>25</v>
      </c>
      <c r="AC70" s="33">
        <v>26</v>
      </c>
      <c r="AD70" s="33">
        <v>27</v>
      </c>
      <c r="AE70" s="33">
        <v>28</v>
      </c>
      <c r="AF70" s="33">
        <v>29</v>
      </c>
      <c r="AG70" s="33">
        <v>30</v>
      </c>
      <c r="AH70" s="33">
        <v>31</v>
      </c>
      <c r="AI70" s="33">
        <v>32</v>
      </c>
      <c r="AJ70" s="33">
        <v>33</v>
      </c>
      <c r="AK70" s="33">
        <v>34</v>
      </c>
      <c r="AL70" s="33">
        <v>35</v>
      </c>
    </row>
    <row r="71" spans="2:38" x14ac:dyDescent="0.2">
      <c r="B71" s="766"/>
      <c r="C71" s="34" t="s">
        <v>9</v>
      </c>
      <c r="D71" s="35">
        <f>D4</f>
        <v>2025</v>
      </c>
      <c r="E71" s="35">
        <f t="shared" ref="E71:AG71" si="48">E4</f>
        <v>2026</v>
      </c>
      <c r="F71" s="35">
        <f t="shared" si="48"/>
        <v>2027</v>
      </c>
      <c r="G71" s="35">
        <f t="shared" si="48"/>
        <v>2028</v>
      </c>
      <c r="H71" s="35">
        <f t="shared" si="48"/>
        <v>2029</v>
      </c>
      <c r="I71" s="35">
        <f t="shared" si="48"/>
        <v>2030</v>
      </c>
      <c r="J71" s="35">
        <f t="shared" si="48"/>
        <v>2031</v>
      </c>
      <c r="K71" s="35">
        <f t="shared" si="48"/>
        <v>2032</v>
      </c>
      <c r="L71" s="35">
        <f t="shared" si="48"/>
        <v>2033</v>
      </c>
      <c r="M71" s="35">
        <f t="shared" si="48"/>
        <v>2034</v>
      </c>
      <c r="N71" s="35">
        <f t="shared" si="48"/>
        <v>2035</v>
      </c>
      <c r="O71" s="35">
        <f t="shared" si="48"/>
        <v>2036</v>
      </c>
      <c r="P71" s="35">
        <f t="shared" si="48"/>
        <v>2037</v>
      </c>
      <c r="Q71" s="35">
        <f t="shared" si="48"/>
        <v>2038</v>
      </c>
      <c r="R71" s="35">
        <f t="shared" si="48"/>
        <v>2039</v>
      </c>
      <c r="S71" s="35">
        <f t="shared" si="48"/>
        <v>2040</v>
      </c>
      <c r="T71" s="35">
        <f t="shared" si="48"/>
        <v>2041</v>
      </c>
      <c r="U71" s="35">
        <f t="shared" si="48"/>
        <v>2042</v>
      </c>
      <c r="V71" s="35">
        <f t="shared" si="48"/>
        <v>2043</v>
      </c>
      <c r="W71" s="35">
        <f t="shared" si="48"/>
        <v>2044</v>
      </c>
      <c r="X71" s="35">
        <f t="shared" si="48"/>
        <v>2045</v>
      </c>
      <c r="Y71" s="35">
        <f t="shared" si="48"/>
        <v>2046</v>
      </c>
      <c r="Z71" s="35">
        <f t="shared" si="48"/>
        <v>2047</v>
      </c>
      <c r="AA71" s="35">
        <f t="shared" si="48"/>
        <v>2048</v>
      </c>
      <c r="AB71" s="35">
        <f t="shared" si="48"/>
        <v>2049</v>
      </c>
      <c r="AC71" s="35">
        <f t="shared" si="48"/>
        <v>2050</v>
      </c>
      <c r="AD71" s="35">
        <f t="shared" si="48"/>
        <v>2051</v>
      </c>
      <c r="AE71" s="35">
        <f t="shared" si="48"/>
        <v>2052</v>
      </c>
      <c r="AF71" s="35">
        <f t="shared" si="48"/>
        <v>2053</v>
      </c>
      <c r="AG71" s="35">
        <f t="shared" si="48"/>
        <v>2054</v>
      </c>
      <c r="AH71" s="35">
        <f t="shared" ref="AH71:AL71" si="49">AH4</f>
        <v>2055</v>
      </c>
      <c r="AI71" s="35">
        <f t="shared" si="49"/>
        <v>2056</v>
      </c>
      <c r="AJ71" s="35">
        <f t="shared" si="49"/>
        <v>2057</v>
      </c>
      <c r="AK71" s="35">
        <f t="shared" si="49"/>
        <v>2058</v>
      </c>
      <c r="AL71" s="35">
        <f t="shared" si="49"/>
        <v>2059</v>
      </c>
    </row>
    <row r="72" spans="2:38" x14ac:dyDescent="0.2">
      <c r="B72" s="160" t="s">
        <v>59</v>
      </c>
      <c r="C72" s="161">
        <f>SUM(D72:AL72)</f>
        <v>86219020.262549996</v>
      </c>
      <c r="D72" s="162">
        <f>D66*Parametre!C121/1000</f>
        <v>0</v>
      </c>
      <c r="E72" s="162">
        <f>E66*Parametre!D121/1000</f>
        <v>0</v>
      </c>
      <c r="F72" s="162">
        <f>F66*Parametre!E121/1000</f>
        <v>0</v>
      </c>
      <c r="G72" s="162">
        <f>G66*Parametre!F121/1000</f>
        <v>934365.21695999987</v>
      </c>
      <c r="H72" s="162">
        <f>H66*Parametre!G121/1000</f>
        <v>1014242.70318</v>
      </c>
      <c r="I72" s="162">
        <f>I66*Parametre!H121/1000</f>
        <v>1094120.1893999998</v>
      </c>
      <c r="J72" s="162">
        <f>J66*Parametre!I121/1000</f>
        <v>1173997.6756200001</v>
      </c>
      <c r="K72" s="162">
        <f>K66*Parametre!J121/1000</f>
        <v>1305560.5940999999</v>
      </c>
      <c r="L72" s="162">
        <f>L66*Parametre!K121/1000</f>
        <v>1437123.5125799999</v>
      </c>
      <c r="M72" s="162">
        <f>M66*Parametre!L121/1000</f>
        <v>1568686.4310599999</v>
      </c>
      <c r="N72" s="162">
        <f>N66*Parametre!M121/1000</f>
        <v>1700249.3495399999</v>
      </c>
      <c r="O72" s="162">
        <f>O66*Parametre!N121/1000</f>
        <v>1831141.0286400001</v>
      </c>
      <c r="P72" s="162">
        <f>P66*Parametre!O121/1000</f>
        <v>1958005.2714599997</v>
      </c>
      <c r="Q72" s="162">
        <f>Q66*Parametre!P121/1000</f>
        <v>2084869.5142800002</v>
      </c>
      <c r="R72" s="162">
        <f>R66*Parametre!Q121/1000</f>
        <v>2211733.7571</v>
      </c>
      <c r="S72" s="162">
        <f>S66*Parametre!R121/1000</f>
        <v>2338597.9999199994</v>
      </c>
      <c r="T72" s="162">
        <f>T66*Parametre!S121/1000</f>
        <v>2465126.6230499996</v>
      </c>
      <c r="U72" s="162">
        <f>U66*Parametre!T121/1000</f>
        <v>2591990.8658699999</v>
      </c>
      <c r="V72" s="162">
        <f>V66*Parametre!U121/1000</f>
        <v>2718855.1086900001</v>
      </c>
      <c r="W72" s="162">
        <f>W66*Parametre!V121/1000</f>
        <v>2845719.3515099999</v>
      </c>
      <c r="X72" s="162">
        <f>X66*Parametre!W121/1000</f>
        <v>2972583.5943299998</v>
      </c>
      <c r="Y72" s="162">
        <f>Y66*Parametre!X121/1000</f>
        <v>3099112.21746</v>
      </c>
      <c r="Z72" s="162">
        <f>Z66*Parametre!Y121/1000</f>
        <v>3230675.1359399999</v>
      </c>
      <c r="AA72" s="162">
        <f>AA66*Parametre!Z121/1000</f>
        <v>3362238.0544199995</v>
      </c>
      <c r="AB72" s="162">
        <f>AB66*Parametre!AA121/1000</f>
        <v>3493800.9728999999</v>
      </c>
      <c r="AC72" s="162">
        <f>AC66*Parametre!AB121/1000</f>
        <v>3625363.8913799999</v>
      </c>
      <c r="AD72" s="162">
        <f>AD66*Parametre!AC121/1000</f>
        <v>3756255.5704800002</v>
      </c>
      <c r="AE72" s="162">
        <f>AE66*Parametre!AD121/1000</f>
        <v>3795187.4545199997</v>
      </c>
      <c r="AF72" s="162">
        <f>AF66*Parametre!AE121/1000</f>
        <v>3831770.00073</v>
      </c>
      <c r="AG72" s="162">
        <f>AG66*Parametre!AF121/1000</f>
        <v>3868688.1666300003</v>
      </c>
      <c r="AH72" s="162">
        <f>AH66*Parametre!AG121/1000</f>
        <v>3905941.9522199999</v>
      </c>
      <c r="AI72" s="162">
        <f>AI66*Parametre!AH121/1000</f>
        <v>3943531.3574999999</v>
      </c>
      <c r="AJ72" s="162">
        <f>AJ66*Parametre!AI121/1000</f>
        <v>3981456.3824699996</v>
      </c>
      <c r="AK72" s="162">
        <f>AK66*Parametre!AJ121/1000</f>
        <v>4019717.0271300003</v>
      </c>
      <c r="AL72" s="162">
        <f>AL66*Parametre!AK121/1000</f>
        <v>4058313.2914800001</v>
      </c>
    </row>
  </sheetData>
  <sheetProtection algorithmName="SHA-512" hashValue="Z7+7cDlKB+t+KOYGllUVPFiUB45uSQuhNUXRinyNCyBzX4o4vIqzZ3cl96aQWz0aZItiIXhfUGKNhliE27yKgA==" saltValue="1W0k8KV3gh8ndHUydHb1Pg==" spinCount="100000" sheet="1" objects="1" scenarios="1"/>
  <mergeCells count="7">
    <mergeCell ref="B70:B71"/>
    <mergeCell ref="B2:B3"/>
    <mergeCell ref="B11:B12"/>
    <mergeCell ref="B20:B21"/>
    <mergeCell ref="B30:B31"/>
    <mergeCell ref="B41:B42"/>
    <mergeCell ref="B52:B53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8" formulaRange="1"/>
  </ignoredErrors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CFF99"/>
  </sheetPr>
  <dimension ref="B2:AL35"/>
  <sheetViews>
    <sheetView zoomScale="90" zoomScaleNormal="90" workbookViewId="0"/>
  </sheetViews>
  <sheetFormatPr defaultColWidth="11.42578125" defaultRowHeight="11.25" x14ac:dyDescent="0.2"/>
  <cols>
    <col min="1" max="1" width="11.42578125" style="259"/>
    <col min="2" max="2" width="23.42578125" style="259" customWidth="1"/>
    <col min="3" max="3" width="22.28515625" style="259" customWidth="1"/>
    <col min="4" max="16384" width="11.42578125" style="259"/>
  </cols>
  <sheetData>
    <row r="2" spans="2:38" x14ac:dyDescent="0.2">
      <c r="B2" s="260"/>
      <c r="C2" s="260"/>
      <c r="D2" s="260" t="s">
        <v>10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</row>
    <row r="3" spans="2:38" x14ac:dyDescent="0.2">
      <c r="B3" s="261" t="s">
        <v>447</v>
      </c>
      <c r="C3" s="261"/>
      <c r="D3" s="262">
        <v>1</v>
      </c>
      <c r="E3" s="262">
        <v>2</v>
      </c>
      <c r="F3" s="262">
        <v>3</v>
      </c>
      <c r="G3" s="262">
        <v>4</v>
      </c>
      <c r="H3" s="262">
        <v>5</v>
      </c>
      <c r="I3" s="262">
        <v>6</v>
      </c>
      <c r="J3" s="262">
        <v>7</v>
      </c>
      <c r="K3" s="262">
        <v>8</v>
      </c>
      <c r="L3" s="262">
        <v>9</v>
      </c>
      <c r="M3" s="262">
        <v>10</v>
      </c>
      <c r="N3" s="262">
        <v>11</v>
      </c>
      <c r="O3" s="262">
        <v>12</v>
      </c>
      <c r="P3" s="262">
        <v>13</v>
      </c>
      <c r="Q3" s="262">
        <v>14</v>
      </c>
      <c r="R3" s="262">
        <v>15</v>
      </c>
      <c r="S3" s="262">
        <v>16</v>
      </c>
      <c r="T3" s="262">
        <v>17</v>
      </c>
      <c r="U3" s="262">
        <v>18</v>
      </c>
      <c r="V3" s="262">
        <v>19</v>
      </c>
      <c r="W3" s="262">
        <v>20</v>
      </c>
      <c r="X3" s="262">
        <v>21</v>
      </c>
      <c r="Y3" s="262">
        <v>22</v>
      </c>
      <c r="Z3" s="262">
        <v>23</v>
      </c>
      <c r="AA3" s="262">
        <v>24</v>
      </c>
      <c r="AB3" s="262">
        <v>25</v>
      </c>
      <c r="AC3" s="262">
        <v>26</v>
      </c>
      <c r="AD3" s="262">
        <v>27</v>
      </c>
      <c r="AE3" s="262">
        <v>28</v>
      </c>
      <c r="AF3" s="262">
        <v>29</v>
      </c>
      <c r="AG3" s="262">
        <v>30</v>
      </c>
      <c r="AH3" s="262">
        <v>31</v>
      </c>
      <c r="AI3" s="262">
        <v>32</v>
      </c>
      <c r="AJ3" s="262">
        <v>33</v>
      </c>
      <c r="AK3" s="262">
        <v>34</v>
      </c>
      <c r="AL3" s="262">
        <v>35</v>
      </c>
    </row>
    <row r="4" spans="2:38" x14ac:dyDescent="0.2">
      <c r="B4" s="263" t="s">
        <v>33</v>
      </c>
      <c r="C4" s="264" t="s">
        <v>9</v>
      </c>
      <c r="D4" s="265">
        <v>2025</v>
      </c>
      <c r="E4" s="265">
        <f>$D$4+D3</f>
        <v>2026</v>
      </c>
      <c r="F4" s="265">
        <f>$D$4+E3</f>
        <v>2027</v>
      </c>
      <c r="G4" s="265">
        <f t="shared" ref="G4:AG4" si="0">$D$4+F3</f>
        <v>2028</v>
      </c>
      <c r="H4" s="265">
        <f t="shared" si="0"/>
        <v>2029</v>
      </c>
      <c r="I4" s="265">
        <f t="shared" si="0"/>
        <v>2030</v>
      </c>
      <c r="J4" s="265">
        <f t="shared" si="0"/>
        <v>2031</v>
      </c>
      <c r="K4" s="265">
        <f t="shared" si="0"/>
        <v>2032</v>
      </c>
      <c r="L4" s="265">
        <f t="shared" si="0"/>
        <v>2033</v>
      </c>
      <c r="M4" s="265">
        <f t="shared" si="0"/>
        <v>2034</v>
      </c>
      <c r="N4" s="265">
        <f t="shared" si="0"/>
        <v>2035</v>
      </c>
      <c r="O4" s="265">
        <f t="shared" si="0"/>
        <v>2036</v>
      </c>
      <c r="P4" s="265">
        <f t="shared" si="0"/>
        <v>2037</v>
      </c>
      <c r="Q4" s="265">
        <f t="shared" si="0"/>
        <v>2038</v>
      </c>
      <c r="R4" s="265">
        <f t="shared" si="0"/>
        <v>2039</v>
      </c>
      <c r="S4" s="265">
        <f t="shared" si="0"/>
        <v>2040</v>
      </c>
      <c r="T4" s="265">
        <f t="shared" si="0"/>
        <v>2041</v>
      </c>
      <c r="U4" s="265">
        <f t="shared" si="0"/>
        <v>2042</v>
      </c>
      <c r="V4" s="265">
        <f t="shared" si="0"/>
        <v>2043</v>
      </c>
      <c r="W4" s="265">
        <f t="shared" si="0"/>
        <v>2044</v>
      </c>
      <c r="X4" s="265">
        <f t="shared" si="0"/>
        <v>2045</v>
      </c>
      <c r="Y4" s="265">
        <f t="shared" si="0"/>
        <v>2046</v>
      </c>
      <c r="Z4" s="265">
        <f t="shared" si="0"/>
        <v>2047</v>
      </c>
      <c r="AA4" s="265">
        <f t="shared" si="0"/>
        <v>2048</v>
      </c>
      <c r="AB4" s="265">
        <f t="shared" si="0"/>
        <v>2049</v>
      </c>
      <c r="AC4" s="265">
        <f t="shared" si="0"/>
        <v>2050</v>
      </c>
      <c r="AD4" s="265">
        <f t="shared" si="0"/>
        <v>2051</v>
      </c>
      <c r="AE4" s="265">
        <f t="shared" si="0"/>
        <v>2052</v>
      </c>
      <c r="AF4" s="265">
        <f t="shared" si="0"/>
        <v>2053</v>
      </c>
      <c r="AG4" s="265">
        <f t="shared" si="0"/>
        <v>2054</v>
      </c>
      <c r="AH4" s="265">
        <f t="shared" ref="AH4" si="1">$D$4+AG3</f>
        <v>2055</v>
      </c>
      <c r="AI4" s="265">
        <f t="shared" ref="AI4" si="2">$D$4+AH3</f>
        <v>2056</v>
      </c>
      <c r="AJ4" s="265">
        <f t="shared" ref="AJ4" si="3">$D$4+AI3</f>
        <v>2057</v>
      </c>
      <c r="AK4" s="265">
        <f t="shared" ref="AK4" si="4">$D$4+AJ3</f>
        <v>2058</v>
      </c>
      <c r="AL4" s="265">
        <f t="shared" ref="AL4" si="5">$D$4+AK3</f>
        <v>2059</v>
      </c>
    </row>
    <row r="5" spans="2:38" ht="11.85" customHeight="1" x14ac:dyDescent="0.2">
      <c r="B5" s="260" t="s">
        <v>149</v>
      </c>
      <c r="C5" s="266">
        <f>SUM(D5:AL5)</f>
        <v>2066794779.3631186</v>
      </c>
      <c r="D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E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F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G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H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I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J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K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L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M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N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O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P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Q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R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S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T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U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V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W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X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Y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Z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AA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AB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AC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AD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AE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AF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AG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AH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AI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AJ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AK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  <c r="AL5" s="267">
        <f>('10_A Bezpečnosť (cesty)'!$D$50*Parametre!$BA$158*Parametre!$D$165*Parametre!$C$98*Parametre!$C$229+'10_A Bezpečnosť (cesty)'!$D$50*Parametre!$BA$159*Parametre!$D$166*Parametre!$C$99*Parametre!$C$230)/1000</f>
        <v>59051279.410374783</v>
      </c>
    </row>
    <row r="6" spans="2:38" ht="11.85" customHeight="1" x14ac:dyDescent="0.2">
      <c r="B6" s="260" t="s">
        <v>150</v>
      </c>
      <c r="C6" s="266">
        <f>SUM(D6:AL6)</f>
        <v>458093.28693215951</v>
      </c>
      <c r="D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E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F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G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H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I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J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K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L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M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N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O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P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Q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R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S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T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U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V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W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X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Y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Z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AA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AB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AC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AD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AE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AF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AG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AH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AI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AJ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AK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  <c r="AL6" s="267">
        <f>('10_A Bezpečnosť (cesty)'!$D$50*Parametre!$BA$158*Parametre!$D$165*Parametre!$C$98*Parametre!$D$229+'10_A Bezpečnosť (cesty)'!$D$50*Parametre!$BA$159*Parametre!$D$166*Parametre!$C$99*Parametre!$D$230)/1000</f>
        <v>13088.379626633123</v>
      </c>
    </row>
    <row r="7" spans="2:38" ht="11.85" customHeight="1" x14ac:dyDescent="0.2">
      <c r="B7" s="260" t="s">
        <v>151</v>
      </c>
      <c r="C7" s="266">
        <f>SUM(D7:AL7)</f>
        <v>99452.432088780697</v>
      </c>
      <c r="D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E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F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G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H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I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J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K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L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M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N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O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P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Q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R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S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T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U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V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W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X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Y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Z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AA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AB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AC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AD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AE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AF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AG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AH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AI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AJ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AK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  <c r="AL7" s="267">
        <f>('10_A Bezpečnosť (cesty)'!$D$50*Parametre!$BA$158*Parametre!$D$165*Parametre!$C$98*Parametre!$E$229+'10_A Bezpečnosť (cesty)'!$D$50*Parametre!$BA$159*Parametre!$D$166*Parametre!$C$99*Parametre!$E$230)/1000</f>
        <v>2841.4980596794485</v>
      </c>
    </row>
    <row r="8" spans="2:38" ht="11.85" customHeight="1" x14ac:dyDescent="0.2">
      <c r="B8" s="262" t="s">
        <v>398</v>
      </c>
      <c r="C8" s="280">
        <f>SUM(D8:AL8)</f>
        <v>2631043.2930748891</v>
      </c>
      <c r="D8" s="267">
        <f>('10_A Bezpečnosť (cesty)'!$D$50*Parametre!$BA$158*Parametre!$D$167*Parametre!$D$112)/1000</f>
        <v>75172.665516425448</v>
      </c>
      <c r="E8" s="267">
        <f>('10_A Bezpečnosť (cesty)'!$D$50*Parametre!$BA$158*Parametre!$D$167*Parametre!$D$112)/1000</f>
        <v>75172.665516425448</v>
      </c>
      <c r="F8" s="267">
        <f>('10_A Bezpečnosť (cesty)'!$D$50*Parametre!$BA$158*Parametre!$D$167*Parametre!$D$112)/1000</f>
        <v>75172.665516425448</v>
      </c>
      <c r="G8" s="267">
        <f>('10_A Bezpečnosť (cesty)'!$D$50*Parametre!$BA$158*Parametre!$D$167*Parametre!$D$112)/1000</f>
        <v>75172.665516425448</v>
      </c>
      <c r="H8" s="267">
        <f>('10_A Bezpečnosť (cesty)'!$D$50*Parametre!$BA$158*Parametre!$D$167*Parametre!$D$112)/1000</f>
        <v>75172.665516425448</v>
      </c>
      <c r="I8" s="267">
        <f>('10_A Bezpečnosť (cesty)'!$D$50*Parametre!$BA$158*Parametre!$D$167*Parametre!$D$112)/1000</f>
        <v>75172.665516425448</v>
      </c>
      <c r="J8" s="267">
        <f>('10_A Bezpečnosť (cesty)'!$D$50*Parametre!$BA$158*Parametre!$D$167*Parametre!$D$112)/1000</f>
        <v>75172.665516425448</v>
      </c>
      <c r="K8" s="267">
        <f>('10_A Bezpečnosť (cesty)'!$D$50*Parametre!$BA$158*Parametre!$D$167*Parametre!$D$112)/1000</f>
        <v>75172.665516425448</v>
      </c>
      <c r="L8" s="267">
        <f>('10_A Bezpečnosť (cesty)'!$D$50*Parametre!$BA$158*Parametre!$D$167*Parametre!$D$112)/1000</f>
        <v>75172.665516425448</v>
      </c>
      <c r="M8" s="267">
        <f>('10_A Bezpečnosť (cesty)'!$D$50*Parametre!$BA$158*Parametre!$D$167*Parametre!$D$112)/1000</f>
        <v>75172.665516425448</v>
      </c>
      <c r="N8" s="267">
        <f>('10_A Bezpečnosť (cesty)'!$D$50*Parametre!$BA$158*Parametre!$D$167*Parametre!$D$112)/1000</f>
        <v>75172.665516425448</v>
      </c>
      <c r="O8" s="267">
        <f>('10_A Bezpečnosť (cesty)'!$D$50*Parametre!$BA$158*Parametre!$D$167*Parametre!$D$112)/1000</f>
        <v>75172.665516425448</v>
      </c>
      <c r="P8" s="267">
        <f>('10_A Bezpečnosť (cesty)'!$D$50*Parametre!$BA$158*Parametre!$D$167*Parametre!$D$112)/1000</f>
        <v>75172.665516425448</v>
      </c>
      <c r="Q8" s="267">
        <f>('10_A Bezpečnosť (cesty)'!$D$50*Parametre!$BA$158*Parametre!$D$167*Parametre!$D$112)/1000</f>
        <v>75172.665516425448</v>
      </c>
      <c r="R8" s="267">
        <f>('10_A Bezpečnosť (cesty)'!$D$50*Parametre!$BA$158*Parametre!$D$167*Parametre!$D$112)/1000</f>
        <v>75172.665516425448</v>
      </c>
      <c r="S8" s="267">
        <f>('10_A Bezpečnosť (cesty)'!$D$50*Parametre!$BA$158*Parametre!$D$167*Parametre!$D$112)/1000</f>
        <v>75172.665516425448</v>
      </c>
      <c r="T8" s="267">
        <f>('10_A Bezpečnosť (cesty)'!$D$50*Parametre!$BA$158*Parametre!$D$167*Parametre!$D$112)/1000</f>
        <v>75172.665516425448</v>
      </c>
      <c r="U8" s="267">
        <f>('10_A Bezpečnosť (cesty)'!$D$50*Parametre!$BA$158*Parametre!$D$167*Parametre!$D$112)/1000</f>
        <v>75172.665516425448</v>
      </c>
      <c r="V8" s="267">
        <f>('10_A Bezpečnosť (cesty)'!$D$50*Parametre!$BA$158*Parametre!$D$167*Parametre!$D$112)/1000</f>
        <v>75172.665516425448</v>
      </c>
      <c r="W8" s="267">
        <f>('10_A Bezpečnosť (cesty)'!$D$50*Parametre!$BA$158*Parametre!$D$167*Parametre!$D$112)/1000</f>
        <v>75172.665516425448</v>
      </c>
      <c r="X8" s="267">
        <f>('10_A Bezpečnosť (cesty)'!$D$50*Parametre!$BA$158*Parametre!$D$167*Parametre!$D$112)/1000</f>
        <v>75172.665516425448</v>
      </c>
      <c r="Y8" s="267">
        <f>('10_A Bezpečnosť (cesty)'!$D$50*Parametre!$BA$158*Parametre!$D$167*Parametre!$D$112)/1000</f>
        <v>75172.665516425448</v>
      </c>
      <c r="Z8" s="267">
        <f>('10_A Bezpečnosť (cesty)'!$D$50*Parametre!$BA$158*Parametre!$D$167*Parametre!$D$112)/1000</f>
        <v>75172.665516425448</v>
      </c>
      <c r="AA8" s="267">
        <f>('10_A Bezpečnosť (cesty)'!$D$50*Parametre!$BA$158*Parametre!$D$167*Parametre!$D$112)/1000</f>
        <v>75172.665516425448</v>
      </c>
      <c r="AB8" s="267">
        <f>('10_A Bezpečnosť (cesty)'!$D$50*Parametre!$BA$158*Parametre!$D$167*Parametre!$D$112)/1000</f>
        <v>75172.665516425448</v>
      </c>
      <c r="AC8" s="267">
        <f>('10_A Bezpečnosť (cesty)'!$D$50*Parametre!$BA$158*Parametre!$D$167*Parametre!$D$112)/1000</f>
        <v>75172.665516425448</v>
      </c>
      <c r="AD8" s="267">
        <f>('10_A Bezpečnosť (cesty)'!$D$50*Parametre!$BA$158*Parametre!$D$167*Parametre!$D$112)/1000</f>
        <v>75172.665516425448</v>
      </c>
      <c r="AE8" s="267">
        <f>('10_A Bezpečnosť (cesty)'!$D$50*Parametre!$BA$158*Parametre!$D$167*Parametre!$D$112)/1000</f>
        <v>75172.665516425448</v>
      </c>
      <c r="AF8" s="267">
        <f>('10_A Bezpečnosť (cesty)'!$D$50*Parametre!$BA$158*Parametre!$D$167*Parametre!$D$112)/1000</f>
        <v>75172.665516425448</v>
      </c>
      <c r="AG8" s="267">
        <f>('10_A Bezpečnosť (cesty)'!$D$50*Parametre!$BA$158*Parametre!$D$167*Parametre!$D$112)/1000</f>
        <v>75172.665516425448</v>
      </c>
      <c r="AH8" s="267">
        <f>('10_A Bezpečnosť (cesty)'!$D$50*Parametre!$BA$158*Parametre!$D$167*Parametre!$D$112)/1000</f>
        <v>75172.665516425448</v>
      </c>
      <c r="AI8" s="267">
        <f>('10_A Bezpečnosť (cesty)'!$D$50*Parametre!$BA$158*Parametre!$D$167*Parametre!$D$112)/1000</f>
        <v>75172.665516425448</v>
      </c>
      <c r="AJ8" s="267">
        <f>('10_A Bezpečnosť (cesty)'!$D$50*Parametre!$BA$158*Parametre!$D$167*Parametre!$D$112)/1000</f>
        <v>75172.665516425448</v>
      </c>
      <c r="AK8" s="267">
        <f>('10_A Bezpečnosť (cesty)'!$D$50*Parametre!$BA$158*Parametre!$D$167*Parametre!$D$112)/1000</f>
        <v>75172.665516425448</v>
      </c>
      <c r="AL8" s="267">
        <f>('10_A Bezpečnosť (cesty)'!$D$50*Parametre!$BA$158*Parametre!$D$167*Parametre!$D$112)/1000</f>
        <v>75172.665516425448</v>
      </c>
    </row>
    <row r="9" spans="2:38" ht="10.35" customHeight="1" x14ac:dyDescent="0.2">
      <c r="B9" s="261" t="s">
        <v>9</v>
      </c>
      <c r="C9" s="268">
        <f>SUM(D9:AL9)</f>
        <v>2069983368.3752134</v>
      </c>
      <c r="D9" s="268">
        <f>SUM(D5:D8)</f>
        <v>59142381.953577526</v>
      </c>
      <c r="E9" s="268">
        <f t="shared" ref="E9:AG9" si="6">SUM(E5:E8)</f>
        <v>59142381.953577526</v>
      </c>
      <c r="F9" s="268">
        <f t="shared" si="6"/>
        <v>59142381.953577526</v>
      </c>
      <c r="G9" s="268">
        <f t="shared" si="6"/>
        <v>59142381.953577526</v>
      </c>
      <c r="H9" s="268">
        <f t="shared" si="6"/>
        <v>59142381.953577526</v>
      </c>
      <c r="I9" s="268">
        <f t="shared" si="6"/>
        <v>59142381.953577526</v>
      </c>
      <c r="J9" s="268">
        <f t="shared" si="6"/>
        <v>59142381.953577526</v>
      </c>
      <c r="K9" s="268">
        <f t="shared" si="6"/>
        <v>59142381.953577526</v>
      </c>
      <c r="L9" s="268">
        <f t="shared" si="6"/>
        <v>59142381.953577526</v>
      </c>
      <c r="M9" s="268">
        <f t="shared" si="6"/>
        <v>59142381.953577526</v>
      </c>
      <c r="N9" s="268">
        <f t="shared" si="6"/>
        <v>59142381.953577526</v>
      </c>
      <c r="O9" s="268">
        <f t="shared" si="6"/>
        <v>59142381.953577526</v>
      </c>
      <c r="P9" s="268">
        <f t="shared" si="6"/>
        <v>59142381.953577526</v>
      </c>
      <c r="Q9" s="268">
        <f t="shared" si="6"/>
        <v>59142381.953577526</v>
      </c>
      <c r="R9" s="268">
        <f t="shared" si="6"/>
        <v>59142381.953577526</v>
      </c>
      <c r="S9" s="268">
        <f t="shared" si="6"/>
        <v>59142381.953577526</v>
      </c>
      <c r="T9" s="268">
        <f t="shared" si="6"/>
        <v>59142381.953577526</v>
      </c>
      <c r="U9" s="268">
        <f t="shared" si="6"/>
        <v>59142381.953577526</v>
      </c>
      <c r="V9" s="268">
        <f t="shared" si="6"/>
        <v>59142381.953577526</v>
      </c>
      <c r="W9" s="268">
        <f t="shared" si="6"/>
        <v>59142381.953577526</v>
      </c>
      <c r="X9" s="268">
        <f t="shared" si="6"/>
        <v>59142381.953577526</v>
      </c>
      <c r="Y9" s="268">
        <f t="shared" si="6"/>
        <v>59142381.953577526</v>
      </c>
      <c r="Z9" s="268">
        <f t="shared" si="6"/>
        <v>59142381.953577526</v>
      </c>
      <c r="AA9" s="268">
        <f t="shared" si="6"/>
        <v>59142381.953577526</v>
      </c>
      <c r="AB9" s="268">
        <f t="shared" si="6"/>
        <v>59142381.953577526</v>
      </c>
      <c r="AC9" s="268">
        <f t="shared" si="6"/>
        <v>59142381.953577526</v>
      </c>
      <c r="AD9" s="268">
        <f t="shared" si="6"/>
        <v>59142381.953577526</v>
      </c>
      <c r="AE9" s="268">
        <f t="shared" si="6"/>
        <v>59142381.953577526</v>
      </c>
      <c r="AF9" s="268">
        <f t="shared" si="6"/>
        <v>59142381.953577526</v>
      </c>
      <c r="AG9" s="268">
        <f t="shared" si="6"/>
        <v>59142381.953577526</v>
      </c>
      <c r="AH9" s="268">
        <f t="shared" ref="AH9:AL9" si="7">SUM(AH5:AH8)</f>
        <v>59142381.953577526</v>
      </c>
      <c r="AI9" s="268">
        <f t="shared" si="7"/>
        <v>59142381.953577526</v>
      </c>
      <c r="AJ9" s="268">
        <f t="shared" si="7"/>
        <v>59142381.953577526</v>
      </c>
      <c r="AK9" s="268">
        <f t="shared" si="7"/>
        <v>59142381.953577526</v>
      </c>
      <c r="AL9" s="268">
        <f t="shared" si="7"/>
        <v>59142381.953577526</v>
      </c>
    </row>
    <row r="12" spans="2:38" x14ac:dyDescent="0.2">
      <c r="B12" s="260"/>
      <c r="C12" s="260"/>
      <c r="D12" s="260" t="s">
        <v>10</v>
      </c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0"/>
      <c r="AI12" s="260"/>
      <c r="AJ12" s="260"/>
      <c r="AK12" s="260"/>
      <c r="AL12" s="260"/>
    </row>
    <row r="13" spans="2:38" x14ac:dyDescent="0.2">
      <c r="B13" s="261" t="s">
        <v>448</v>
      </c>
      <c r="C13" s="261"/>
      <c r="D13" s="262">
        <v>1</v>
      </c>
      <c r="E13" s="262">
        <v>2</v>
      </c>
      <c r="F13" s="262">
        <v>3</v>
      </c>
      <c r="G13" s="262">
        <v>4</v>
      </c>
      <c r="H13" s="262">
        <v>5</v>
      </c>
      <c r="I13" s="262">
        <v>6</v>
      </c>
      <c r="J13" s="262">
        <v>7</v>
      </c>
      <c r="K13" s="262">
        <v>8</v>
      </c>
      <c r="L13" s="262">
        <v>9</v>
      </c>
      <c r="M13" s="262">
        <v>10</v>
      </c>
      <c r="N13" s="262">
        <v>11</v>
      </c>
      <c r="O13" s="262">
        <v>12</v>
      </c>
      <c r="P13" s="262">
        <v>13</v>
      </c>
      <c r="Q13" s="262">
        <v>14</v>
      </c>
      <c r="R13" s="262">
        <v>15</v>
      </c>
      <c r="S13" s="262">
        <v>16</v>
      </c>
      <c r="T13" s="262">
        <v>17</v>
      </c>
      <c r="U13" s="262">
        <v>18</v>
      </c>
      <c r="V13" s="262">
        <v>19</v>
      </c>
      <c r="W13" s="262">
        <v>20</v>
      </c>
      <c r="X13" s="262">
        <v>21</v>
      </c>
      <c r="Y13" s="262">
        <v>22</v>
      </c>
      <c r="Z13" s="262">
        <v>23</v>
      </c>
      <c r="AA13" s="262">
        <v>24</v>
      </c>
      <c r="AB13" s="262">
        <v>25</v>
      </c>
      <c r="AC13" s="262">
        <v>26</v>
      </c>
      <c r="AD13" s="262">
        <v>27</v>
      </c>
      <c r="AE13" s="262">
        <v>28</v>
      </c>
      <c r="AF13" s="262">
        <v>29</v>
      </c>
      <c r="AG13" s="262">
        <v>30</v>
      </c>
      <c r="AH13" s="262">
        <v>31</v>
      </c>
      <c r="AI13" s="262">
        <v>32</v>
      </c>
      <c r="AJ13" s="262">
        <v>33</v>
      </c>
      <c r="AK13" s="262">
        <v>34</v>
      </c>
      <c r="AL13" s="262">
        <v>35</v>
      </c>
    </row>
    <row r="14" spans="2:38" x14ac:dyDescent="0.2">
      <c r="B14" s="263" t="s">
        <v>34</v>
      </c>
      <c r="C14" s="264" t="s">
        <v>9</v>
      </c>
      <c r="D14" s="265">
        <f t="shared" ref="D14:AG14" si="8">D4</f>
        <v>2025</v>
      </c>
      <c r="E14" s="265">
        <f t="shared" si="8"/>
        <v>2026</v>
      </c>
      <c r="F14" s="265">
        <f t="shared" si="8"/>
        <v>2027</v>
      </c>
      <c r="G14" s="265">
        <f t="shared" si="8"/>
        <v>2028</v>
      </c>
      <c r="H14" s="265">
        <f t="shared" si="8"/>
        <v>2029</v>
      </c>
      <c r="I14" s="265">
        <f t="shared" si="8"/>
        <v>2030</v>
      </c>
      <c r="J14" s="265">
        <f t="shared" si="8"/>
        <v>2031</v>
      </c>
      <c r="K14" s="265">
        <f t="shared" si="8"/>
        <v>2032</v>
      </c>
      <c r="L14" s="265">
        <f t="shared" si="8"/>
        <v>2033</v>
      </c>
      <c r="M14" s="265">
        <f t="shared" si="8"/>
        <v>2034</v>
      </c>
      <c r="N14" s="265">
        <f t="shared" si="8"/>
        <v>2035</v>
      </c>
      <c r="O14" s="265">
        <f t="shared" si="8"/>
        <v>2036</v>
      </c>
      <c r="P14" s="265">
        <f t="shared" si="8"/>
        <v>2037</v>
      </c>
      <c r="Q14" s="265">
        <f t="shared" si="8"/>
        <v>2038</v>
      </c>
      <c r="R14" s="265">
        <f t="shared" si="8"/>
        <v>2039</v>
      </c>
      <c r="S14" s="265">
        <f t="shared" si="8"/>
        <v>2040</v>
      </c>
      <c r="T14" s="265">
        <f t="shared" si="8"/>
        <v>2041</v>
      </c>
      <c r="U14" s="265">
        <f t="shared" si="8"/>
        <v>2042</v>
      </c>
      <c r="V14" s="265">
        <f t="shared" si="8"/>
        <v>2043</v>
      </c>
      <c r="W14" s="265">
        <f t="shared" si="8"/>
        <v>2044</v>
      </c>
      <c r="X14" s="265">
        <f t="shared" si="8"/>
        <v>2045</v>
      </c>
      <c r="Y14" s="265">
        <f t="shared" si="8"/>
        <v>2046</v>
      </c>
      <c r="Z14" s="265">
        <f t="shared" si="8"/>
        <v>2047</v>
      </c>
      <c r="AA14" s="265">
        <f t="shared" si="8"/>
        <v>2048</v>
      </c>
      <c r="AB14" s="265">
        <f t="shared" si="8"/>
        <v>2049</v>
      </c>
      <c r="AC14" s="265">
        <f t="shared" si="8"/>
        <v>2050</v>
      </c>
      <c r="AD14" s="265">
        <f t="shared" si="8"/>
        <v>2051</v>
      </c>
      <c r="AE14" s="265">
        <f t="shared" si="8"/>
        <v>2052</v>
      </c>
      <c r="AF14" s="265">
        <f t="shared" si="8"/>
        <v>2053</v>
      </c>
      <c r="AG14" s="265">
        <f t="shared" si="8"/>
        <v>2054</v>
      </c>
      <c r="AH14" s="265">
        <f t="shared" ref="AH14:AL14" si="9">AH4</f>
        <v>2055</v>
      </c>
      <c r="AI14" s="265">
        <f t="shared" si="9"/>
        <v>2056</v>
      </c>
      <c r="AJ14" s="265">
        <f t="shared" si="9"/>
        <v>2057</v>
      </c>
      <c r="AK14" s="265">
        <f t="shared" si="9"/>
        <v>2058</v>
      </c>
      <c r="AL14" s="265">
        <f t="shared" si="9"/>
        <v>2059</v>
      </c>
    </row>
    <row r="15" spans="2:38" x14ac:dyDescent="0.2">
      <c r="B15" s="260" t="s">
        <v>149</v>
      </c>
      <c r="C15" s="266">
        <f>SUM(D15:AL15)</f>
        <v>2035786175.5494246</v>
      </c>
      <c r="D15" s="267">
        <f>D5-(('08 Spotreba PHM_E (cesty)'!D84)*Parametre!$C$229+('08 Spotreba PHM_E (cesty)'!D85)*Parametre!$C$230)/1000</f>
        <v>59051279.410374783</v>
      </c>
      <c r="E15" s="267">
        <f>E5-(('08 Spotreba PHM_E (cesty)'!E84)*Parametre!$C$229+('08 Spotreba PHM_E (cesty)'!E85)*Parametre!$C$230)/1000</f>
        <v>59051279.410374783</v>
      </c>
      <c r="F15" s="267">
        <f>F5-(('08 Spotreba PHM_E (cesty)'!F84)*Parametre!$C$229+('08 Spotreba PHM_E (cesty)'!F85)*Parametre!$C$230)/1000</f>
        <v>59051279.410374783</v>
      </c>
      <c r="G15" s="267">
        <f>G5-(('08 Spotreba PHM_E (cesty)'!G84)*Parametre!$C$229+('08 Spotreba PHM_E (cesty)'!G85)*Parametre!$C$230)/1000</f>
        <v>58378689.852362946</v>
      </c>
      <c r="H15" s="267">
        <f>H5-(('08 Spotreba PHM_E (cesty)'!H84)*Parametre!$C$229+('08 Spotreba PHM_E (cesty)'!H85)*Parametre!$C$230)/1000</f>
        <v>58378689.852362946</v>
      </c>
      <c r="I15" s="267">
        <f>I5-(('08 Spotreba PHM_E (cesty)'!I84)*Parametre!$C$229+('08 Spotreba PHM_E (cesty)'!I85)*Parametre!$C$230)/1000</f>
        <v>58378689.852362946</v>
      </c>
      <c r="J15" s="267">
        <f>J5-(('08 Spotreba PHM_E (cesty)'!J84)*Parametre!$C$229+('08 Spotreba PHM_E (cesty)'!J85)*Parametre!$C$230)/1000</f>
        <v>58378689.852362946</v>
      </c>
      <c r="K15" s="267">
        <f>K5-(('08 Spotreba PHM_E (cesty)'!K84)*Parametre!$C$229+('08 Spotreba PHM_E (cesty)'!K85)*Parametre!$C$230)/1000</f>
        <v>58378689.852362946</v>
      </c>
      <c r="L15" s="267">
        <f>L5-(('08 Spotreba PHM_E (cesty)'!L84)*Parametre!$C$229+('08 Spotreba PHM_E (cesty)'!L85)*Parametre!$C$230)/1000</f>
        <v>58378689.852362946</v>
      </c>
      <c r="M15" s="267">
        <f>M5-(('08 Spotreba PHM_E (cesty)'!M84)*Parametre!$C$229+('08 Spotreba PHM_E (cesty)'!M85)*Parametre!$C$230)/1000</f>
        <v>58378689.852362946</v>
      </c>
      <c r="N15" s="267">
        <f>N5-(('08 Spotreba PHM_E (cesty)'!N84)*Parametre!$C$229+('08 Spotreba PHM_E (cesty)'!N85)*Parametre!$C$230)/1000</f>
        <v>58378689.852362946</v>
      </c>
      <c r="O15" s="267">
        <f>O5-(('08 Spotreba PHM_E (cesty)'!O84)*Parametre!$C$229+('08 Spotreba PHM_E (cesty)'!O85)*Parametre!$C$230)/1000</f>
        <v>58378689.852362946</v>
      </c>
      <c r="P15" s="267">
        <f>P5-(('08 Spotreba PHM_E (cesty)'!P84)*Parametre!$C$229+('08 Spotreba PHM_E (cesty)'!P85)*Parametre!$C$230)/1000</f>
        <v>58378689.852362946</v>
      </c>
      <c r="Q15" s="267">
        <f>Q5-(('08 Spotreba PHM_E (cesty)'!Q84)*Parametre!$C$229+('08 Spotreba PHM_E (cesty)'!Q85)*Parametre!$C$230)/1000</f>
        <v>58378689.852362946</v>
      </c>
      <c r="R15" s="267">
        <f>R5-(('08 Spotreba PHM_E (cesty)'!R84)*Parametre!$C$229+('08 Spotreba PHM_E (cesty)'!R85)*Parametre!$C$230)/1000</f>
        <v>58378689.852362946</v>
      </c>
      <c r="S15" s="267">
        <f>S5-(('08 Spotreba PHM_E (cesty)'!S84)*Parametre!$C$229+('08 Spotreba PHM_E (cesty)'!S85)*Parametre!$C$230)/1000</f>
        <v>58378689.852362946</v>
      </c>
      <c r="T15" s="267">
        <f>T5-(('08 Spotreba PHM_E (cesty)'!T84)*Parametre!$C$229+('08 Spotreba PHM_E (cesty)'!T85)*Parametre!$C$230)/1000</f>
        <v>58380035.031478971</v>
      </c>
      <c r="U15" s="267">
        <f>U5-(('08 Spotreba PHM_E (cesty)'!U84)*Parametre!$C$229+('08 Spotreba PHM_E (cesty)'!U85)*Parametre!$C$230)/1000</f>
        <v>58381377.52023676</v>
      </c>
      <c r="V15" s="267">
        <f>V5-(('08 Spotreba PHM_E (cesty)'!V84)*Parametre!$C$229+('08 Spotreba PHM_E (cesty)'!V85)*Parametre!$C$230)/1000</f>
        <v>58382717.32401704</v>
      </c>
      <c r="W15" s="267">
        <f>W5-(('08 Spotreba PHM_E (cesty)'!W84)*Parametre!$C$229+('08 Spotreba PHM_E (cesty)'!W85)*Parametre!$C$230)/1000</f>
        <v>58384054.448189758</v>
      </c>
      <c r="X15" s="267">
        <f>X5-(('08 Spotreba PHM_E (cesty)'!X84)*Parametre!$C$229+('08 Spotreba PHM_E (cesty)'!X85)*Parametre!$C$230)/1000</f>
        <v>58385388.898114122</v>
      </c>
      <c r="Y15" s="267">
        <f>Y5-(('08 Spotreba PHM_E (cesty)'!Y84)*Parametre!$C$229+('08 Spotreba PHM_E (cesty)'!Y85)*Parametre!$C$230)/1000</f>
        <v>58386720.679138646</v>
      </c>
      <c r="Z15" s="267">
        <f>Z5-(('08 Spotreba PHM_E (cesty)'!Z84)*Parametre!$C$229+('08 Spotreba PHM_E (cesty)'!Z85)*Parametre!$C$230)/1000</f>
        <v>58388049.796601117</v>
      </c>
      <c r="AA15" s="267">
        <f>AA5-(('08 Spotreba PHM_E (cesty)'!AA84)*Parametre!$C$229+('08 Spotreba PHM_E (cesty)'!AA85)*Parametre!$C$230)/1000</f>
        <v>58389376.255828664</v>
      </c>
      <c r="AB15" s="267">
        <f>AB5-(('08 Spotreba PHM_E (cesty)'!AB84)*Parametre!$C$229+('08 Spotreba PHM_E (cesty)'!AB85)*Parametre!$C$230)/1000</f>
        <v>58390700.06213776</v>
      </c>
      <c r="AC15" s="267">
        <f>AC5-(('08 Spotreba PHM_E (cesty)'!AC84)*Parametre!$C$229+('08 Spotreba PHM_E (cesty)'!AC85)*Parametre!$C$230)/1000</f>
        <v>58392021.220834233</v>
      </c>
      <c r="AD15" s="267">
        <f>AD5-(('08 Spotreba PHM_E (cesty)'!AD84)*Parametre!$C$229+('08 Spotreba PHM_E (cesty)'!AD85)*Parametre!$C$230)/1000</f>
        <v>58393339.737213314</v>
      </c>
      <c r="AE15" s="267">
        <f>AE5-(('08 Spotreba PHM_E (cesty)'!AE84)*Parametre!$C$229+('08 Spotreba PHM_E (cesty)'!AE85)*Parametre!$C$230)/1000</f>
        <v>58394655.61655964</v>
      </c>
      <c r="AF15" s="267">
        <f>AF5-(('08 Spotreba PHM_E (cesty)'!AF84)*Parametre!$C$229+('08 Spotreba PHM_E (cesty)'!AF85)*Parametre!$C$230)/1000</f>
        <v>58395968.864147268</v>
      </c>
      <c r="AG15" s="267">
        <f>AG5-(('08 Spotreba PHM_E (cesty)'!AG84)*Parametre!$C$229+('08 Spotreba PHM_E (cesty)'!AG85)*Parametre!$C$230)/1000</f>
        <v>58397279.485239722</v>
      </c>
      <c r="AH15" s="267">
        <f>AH5-(('08 Spotreba PHM_E (cesty)'!AH84)*Parametre!$C$229+('08 Spotreba PHM_E (cesty)'!AH85)*Parametre!$C$230)/1000</f>
        <v>57745895.5598052</v>
      </c>
      <c r="AI15" s="267">
        <f>AI5-(('08 Spotreba PHM_E (cesty)'!AI84)*Parametre!$C$229+('08 Spotreba PHM_E (cesty)'!AI85)*Parametre!$C$230)/1000</f>
        <v>57097119.78607212</v>
      </c>
      <c r="AJ15" s="267">
        <f>AJ5-(('08 Spotreba PHM_E (cesty)'!AJ84)*Parametre!$C$229+('08 Spotreba PHM_E (cesty)'!AJ85)*Parametre!$C$230)/1000</f>
        <v>56450944.336969368</v>
      </c>
      <c r="AK15" s="267">
        <f>AK5-(('08 Spotreba PHM_E (cesty)'!AK84)*Parametre!$C$229+('08 Spotreba PHM_E (cesty)'!AK85)*Parametre!$C$230)/1000</f>
        <v>55807361.406301528</v>
      </c>
      <c r="AL15" s="267">
        <f>AL5-(('08 Spotreba PHM_E (cesty)'!AL84)*Parametre!$C$229+('08 Spotreba PHM_E (cesty)'!AL85)*Parametre!$C$230)/1000</f>
        <v>55166363.208696656</v>
      </c>
    </row>
    <row r="16" spans="2:38" x14ac:dyDescent="0.2">
      <c r="B16" s="260" t="s">
        <v>150</v>
      </c>
      <c r="C16" s="266">
        <f>SUM(D16:AL16)</f>
        <v>451227.18403962406</v>
      </c>
      <c r="D16" s="267">
        <f>D6-(('08 Spotreba PHM_E (cesty)'!D84)*Parametre!$D$229+('08 Spotreba PHM_E (cesty)'!D85)*Parametre!$D$230)/1000</f>
        <v>13088.379626633123</v>
      </c>
      <c r="E16" s="267">
        <f>E6-(('08 Spotreba PHM_E (cesty)'!E84)*Parametre!$D$229+('08 Spotreba PHM_E (cesty)'!E85)*Parametre!$D$230)/1000</f>
        <v>13088.379626633123</v>
      </c>
      <c r="F16" s="267">
        <f>F6-(('08 Spotreba PHM_E (cesty)'!F84)*Parametre!$D$229+('08 Spotreba PHM_E (cesty)'!F85)*Parametre!$D$230)/1000</f>
        <v>13088.379626633123</v>
      </c>
      <c r="G16" s="267">
        <f>G6-(('08 Spotreba PHM_E (cesty)'!G84)*Parametre!$D$229+('08 Spotreba PHM_E (cesty)'!G85)*Parametre!$D$230)/1000</f>
        <v>12939.450989358755</v>
      </c>
      <c r="H16" s="267">
        <f>H6-(('08 Spotreba PHM_E (cesty)'!H84)*Parametre!$D$229+('08 Spotreba PHM_E (cesty)'!H85)*Parametre!$D$230)/1000</f>
        <v>12939.450989358755</v>
      </c>
      <c r="I16" s="267">
        <f>I6-(('08 Spotreba PHM_E (cesty)'!I84)*Parametre!$D$229+('08 Spotreba PHM_E (cesty)'!I85)*Parametre!$D$230)/1000</f>
        <v>12939.450989358755</v>
      </c>
      <c r="J16" s="267">
        <f>J6-(('08 Spotreba PHM_E (cesty)'!J84)*Parametre!$D$229+('08 Spotreba PHM_E (cesty)'!J85)*Parametre!$D$230)/1000</f>
        <v>12939.450989358755</v>
      </c>
      <c r="K16" s="267">
        <f>K6-(('08 Spotreba PHM_E (cesty)'!K84)*Parametre!$D$229+('08 Spotreba PHM_E (cesty)'!K85)*Parametre!$D$230)/1000</f>
        <v>12939.450989358755</v>
      </c>
      <c r="L16" s="267">
        <f>L6-(('08 Spotreba PHM_E (cesty)'!L84)*Parametre!$D$229+('08 Spotreba PHM_E (cesty)'!L85)*Parametre!$D$230)/1000</f>
        <v>12939.450989358755</v>
      </c>
      <c r="M16" s="267">
        <f>M6-(('08 Spotreba PHM_E (cesty)'!M84)*Parametre!$D$229+('08 Spotreba PHM_E (cesty)'!M85)*Parametre!$D$230)/1000</f>
        <v>12939.450989358755</v>
      </c>
      <c r="N16" s="267">
        <f>N6-(('08 Spotreba PHM_E (cesty)'!N84)*Parametre!$D$229+('08 Spotreba PHM_E (cesty)'!N85)*Parametre!$D$230)/1000</f>
        <v>12939.450989358755</v>
      </c>
      <c r="O16" s="267">
        <f>O6-(('08 Spotreba PHM_E (cesty)'!O84)*Parametre!$D$229+('08 Spotreba PHM_E (cesty)'!O85)*Parametre!$D$230)/1000</f>
        <v>12939.450989358755</v>
      </c>
      <c r="P16" s="267">
        <f>P6-(('08 Spotreba PHM_E (cesty)'!P84)*Parametre!$D$229+('08 Spotreba PHM_E (cesty)'!P85)*Parametre!$D$230)/1000</f>
        <v>12939.450989358755</v>
      </c>
      <c r="Q16" s="267">
        <f>Q6-(('08 Spotreba PHM_E (cesty)'!Q84)*Parametre!$D$229+('08 Spotreba PHM_E (cesty)'!Q85)*Parametre!$D$230)/1000</f>
        <v>12939.450989358755</v>
      </c>
      <c r="R16" s="267">
        <f>R6-(('08 Spotreba PHM_E (cesty)'!R84)*Parametre!$D$229+('08 Spotreba PHM_E (cesty)'!R85)*Parametre!$D$230)/1000</f>
        <v>12939.450989358755</v>
      </c>
      <c r="S16" s="267">
        <f>S6-(('08 Spotreba PHM_E (cesty)'!S84)*Parametre!$D$229+('08 Spotreba PHM_E (cesty)'!S85)*Parametre!$D$230)/1000</f>
        <v>12939.450989358755</v>
      </c>
      <c r="T16" s="267">
        <f>T6-(('08 Spotreba PHM_E (cesty)'!T84)*Parametre!$D$229+('08 Spotreba PHM_E (cesty)'!T85)*Parametre!$D$230)/1000</f>
        <v>12939.748846633303</v>
      </c>
      <c r="U16" s="267">
        <f>U6-(('08 Spotreba PHM_E (cesty)'!U84)*Parametre!$D$229+('08 Spotreba PHM_E (cesty)'!U85)*Parametre!$D$230)/1000</f>
        <v>12940.046108193303</v>
      </c>
      <c r="V16" s="267">
        <f>V6-(('08 Spotreba PHM_E (cesty)'!V84)*Parametre!$D$229+('08 Spotreba PHM_E (cesty)'!V85)*Parametre!$D$230)/1000</f>
        <v>12940.342775230183</v>
      </c>
      <c r="W16" s="267">
        <f>W6-(('08 Spotreba PHM_E (cesty)'!W84)*Parametre!$D$229+('08 Spotreba PHM_E (cesty)'!W85)*Parametre!$D$230)/1000</f>
        <v>12940.638848932989</v>
      </c>
      <c r="X16" s="267">
        <f>X6-(('08 Spotreba PHM_E (cesty)'!X84)*Parametre!$D$229+('08 Spotreba PHM_E (cesty)'!X85)*Parametre!$D$230)/1000</f>
        <v>12940.93433048839</v>
      </c>
      <c r="Y16" s="267">
        <f>Y6-(('08 Spotreba PHM_E (cesty)'!Y84)*Parametre!$D$229+('08 Spotreba PHM_E (cesty)'!Y85)*Parametre!$D$230)/1000</f>
        <v>12941.229221080679</v>
      </c>
      <c r="Z16" s="267">
        <f>Z6-(('08 Spotreba PHM_E (cesty)'!Z84)*Parametre!$D$229+('08 Spotreba PHM_E (cesty)'!Z85)*Parametre!$D$230)/1000</f>
        <v>12941.523521891782</v>
      </c>
      <c r="AA16" s="267">
        <f>AA6-(('08 Spotreba PHM_E (cesty)'!AA84)*Parametre!$D$229+('08 Spotreba PHM_E (cesty)'!AA85)*Parametre!$D$230)/1000</f>
        <v>12941.817234101265</v>
      </c>
      <c r="AB16" s="267">
        <f>AB6-(('08 Spotreba PHM_E (cesty)'!AB84)*Parametre!$D$229+('08 Spotreba PHM_E (cesty)'!AB85)*Parametre!$D$230)/1000</f>
        <v>12942.11035888633</v>
      </c>
      <c r="AC16" s="267">
        <f>AC6-(('08 Spotreba PHM_E (cesty)'!AC84)*Parametre!$D$229+('08 Spotreba PHM_E (cesty)'!AC85)*Parametre!$D$230)/1000</f>
        <v>12942.402897421824</v>
      </c>
      <c r="AD16" s="267">
        <f>AD6-(('08 Spotreba PHM_E (cesty)'!AD84)*Parametre!$D$229+('08 Spotreba PHM_E (cesty)'!AD85)*Parametre!$D$230)/1000</f>
        <v>12942.694850880245</v>
      </c>
      <c r="AE16" s="267">
        <f>AE6-(('08 Spotreba PHM_E (cesty)'!AE84)*Parametre!$D$229+('08 Spotreba PHM_E (cesty)'!AE85)*Parametre!$D$230)/1000</f>
        <v>12942.986220431752</v>
      </c>
      <c r="AF16" s="267">
        <f>AF6-(('08 Spotreba PHM_E (cesty)'!AF84)*Parametre!$D$229+('08 Spotreba PHM_E (cesty)'!AF85)*Parametre!$D$230)/1000</f>
        <v>12943.277007244154</v>
      </c>
      <c r="AG16" s="267">
        <f>AG6-(('08 Spotreba PHM_E (cesty)'!AG84)*Parametre!$D$229+('08 Spotreba PHM_E (cesty)'!AG85)*Parametre!$D$230)/1000</f>
        <v>12943.567212482933</v>
      </c>
      <c r="AH16" s="267">
        <f>AH6-(('08 Spotreba PHM_E (cesty)'!AH84)*Parametre!$D$229+('08 Spotreba PHM_E (cesty)'!AH85)*Parametre!$D$230)/1000</f>
        <v>12799.334047989343</v>
      </c>
      <c r="AI16" s="267">
        <f>AI6-(('08 Spotreba PHM_E (cesty)'!AI84)*Parametre!$D$229+('08 Spotreba PHM_E (cesty)'!AI85)*Parametre!$D$230)/1000</f>
        <v>12655.678395403384</v>
      </c>
      <c r="AJ16" s="267">
        <f>AJ6-(('08 Spotreba PHM_E (cesty)'!AJ84)*Parametre!$D$229+('08 Spotreba PHM_E (cesty)'!AJ85)*Parametre!$D$230)/1000</f>
        <v>12512.598521610083</v>
      </c>
      <c r="AK16" s="267">
        <f>AK6-(('08 Spotreba PHM_E (cesty)'!AK84)*Parametre!$D$229+('08 Spotreba PHM_E (cesty)'!AK85)*Parametre!$D$230)/1000</f>
        <v>12370.092698116881</v>
      </c>
      <c r="AL16" s="267">
        <f>AL6-(('08 Spotreba PHM_E (cesty)'!AL84)*Parametre!$D$229+('08 Spotreba PHM_E (cesty)'!AL85)*Parametre!$D$230)/1000</f>
        <v>12228.159201042072</v>
      </c>
    </row>
    <row r="17" spans="2:38" x14ac:dyDescent="0.2">
      <c r="B17" s="260" t="s">
        <v>151</v>
      </c>
      <c r="C17" s="266">
        <f>SUM(D17:AL17)</f>
        <v>97961.256323427544</v>
      </c>
      <c r="D17" s="267">
        <f>D7-(('08 Spotreba PHM_E (cesty)'!D84)*Parametre!$E$229+('08 Spotreba PHM_E (cesty)'!D85)*Parametre!$E$230)/1000</f>
        <v>2841.4980596794485</v>
      </c>
      <c r="E17" s="267">
        <f>E7-(('08 Spotreba PHM_E (cesty)'!E84)*Parametre!$E$229+('08 Spotreba PHM_E (cesty)'!E85)*Parametre!$E$230)/1000</f>
        <v>2841.4980596794485</v>
      </c>
      <c r="F17" s="267">
        <f>F7-(('08 Spotreba PHM_E (cesty)'!F84)*Parametre!$E$229+('08 Spotreba PHM_E (cesty)'!F85)*Parametre!$E$230)/1000</f>
        <v>2841.4980596794485</v>
      </c>
      <c r="G17" s="267">
        <f>G7-(('08 Spotreba PHM_E (cesty)'!G84)*Parametre!$E$229+('08 Spotreba PHM_E (cesty)'!G85)*Parametre!$E$230)/1000</f>
        <v>2809.1538349938482</v>
      </c>
      <c r="H17" s="267">
        <f>H7-(('08 Spotreba PHM_E (cesty)'!H84)*Parametre!$E$229+('08 Spotreba PHM_E (cesty)'!H85)*Parametre!$E$230)/1000</f>
        <v>2809.1538349938482</v>
      </c>
      <c r="I17" s="267">
        <f>I7-(('08 Spotreba PHM_E (cesty)'!I84)*Parametre!$E$229+('08 Spotreba PHM_E (cesty)'!I85)*Parametre!$E$230)/1000</f>
        <v>2809.1538349938482</v>
      </c>
      <c r="J17" s="267">
        <f>J7-(('08 Spotreba PHM_E (cesty)'!J84)*Parametre!$E$229+('08 Spotreba PHM_E (cesty)'!J85)*Parametre!$E$230)/1000</f>
        <v>2809.1538349938482</v>
      </c>
      <c r="K17" s="267">
        <f>K7-(('08 Spotreba PHM_E (cesty)'!K84)*Parametre!$E$229+('08 Spotreba PHM_E (cesty)'!K85)*Parametre!$E$230)/1000</f>
        <v>2809.1538349938482</v>
      </c>
      <c r="L17" s="267">
        <f>L7-(('08 Spotreba PHM_E (cesty)'!L84)*Parametre!$E$229+('08 Spotreba PHM_E (cesty)'!L85)*Parametre!$E$230)/1000</f>
        <v>2809.1538349938482</v>
      </c>
      <c r="M17" s="267">
        <f>M7-(('08 Spotreba PHM_E (cesty)'!M84)*Parametre!$E$229+('08 Spotreba PHM_E (cesty)'!M85)*Parametre!$E$230)/1000</f>
        <v>2809.1538349938482</v>
      </c>
      <c r="N17" s="267">
        <f>N7-(('08 Spotreba PHM_E (cesty)'!N84)*Parametre!$E$229+('08 Spotreba PHM_E (cesty)'!N85)*Parametre!$E$230)/1000</f>
        <v>2809.1538349938482</v>
      </c>
      <c r="O17" s="267">
        <f>O7-(('08 Spotreba PHM_E (cesty)'!O84)*Parametre!$E$229+('08 Spotreba PHM_E (cesty)'!O85)*Parametre!$E$230)/1000</f>
        <v>2809.1538349938482</v>
      </c>
      <c r="P17" s="267">
        <f>P7-(('08 Spotreba PHM_E (cesty)'!P84)*Parametre!$E$229+('08 Spotreba PHM_E (cesty)'!P85)*Parametre!$E$230)/1000</f>
        <v>2809.1538349938482</v>
      </c>
      <c r="Q17" s="267">
        <f>Q7-(('08 Spotreba PHM_E (cesty)'!Q84)*Parametre!$E$229+('08 Spotreba PHM_E (cesty)'!Q85)*Parametre!$E$230)/1000</f>
        <v>2809.1538349938482</v>
      </c>
      <c r="R17" s="267">
        <f>R7-(('08 Spotreba PHM_E (cesty)'!R84)*Parametre!$E$229+('08 Spotreba PHM_E (cesty)'!R85)*Parametre!$E$230)/1000</f>
        <v>2809.1538349938482</v>
      </c>
      <c r="S17" s="267">
        <f>S7-(('08 Spotreba PHM_E (cesty)'!S84)*Parametre!$E$229+('08 Spotreba PHM_E (cesty)'!S85)*Parametre!$E$230)/1000</f>
        <v>2809.1538349938482</v>
      </c>
      <c r="T17" s="267">
        <f>T7-(('08 Spotreba PHM_E (cesty)'!T84)*Parametre!$E$229+('08 Spotreba PHM_E (cesty)'!T85)*Parametre!$E$230)/1000</f>
        <v>2809.2185234432195</v>
      </c>
      <c r="U17" s="267">
        <f>U7-(('08 Spotreba PHM_E (cesty)'!U84)*Parametre!$E$229+('08 Spotreba PHM_E (cesty)'!U85)*Parametre!$E$230)/1000</f>
        <v>2809.2830825156921</v>
      </c>
      <c r="V17" s="267">
        <f>V7-(('08 Spotreba PHM_E (cesty)'!V84)*Parametre!$E$229+('08 Spotreba PHM_E (cesty)'!V85)*Parametre!$E$230)/1000</f>
        <v>2809.3475124700194</v>
      </c>
      <c r="W17" s="267">
        <f>W7-(('08 Spotreba PHM_E (cesty)'!W84)*Parametre!$E$229+('08 Spotreba PHM_E (cesty)'!W85)*Parametre!$E$230)/1000</f>
        <v>2809.4118135644385</v>
      </c>
      <c r="X17" s="267">
        <f>X7-(('08 Spotreba PHM_E (cesty)'!X84)*Parametre!$E$229+('08 Spotreba PHM_E (cesty)'!X85)*Parametre!$E$230)/1000</f>
        <v>2809.4759860566683</v>
      </c>
      <c r="Y17" s="267">
        <f>Y7-(('08 Spotreba PHM_E (cesty)'!Y84)*Parametre!$E$229+('08 Spotreba PHM_E (cesty)'!Y85)*Parametre!$E$230)/1000</f>
        <v>2809.5400302039138</v>
      </c>
      <c r="Z17" s="267">
        <f>Z7-(('08 Spotreba PHM_E (cesty)'!Z84)*Parametre!$E$229+('08 Spotreba PHM_E (cesty)'!Z85)*Parametre!$E$230)/1000</f>
        <v>2809.6039462628651</v>
      </c>
      <c r="AA17" s="267">
        <f>AA7-(('08 Spotreba PHM_E (cesty)'!AA84)*Parametre!$E$229+('08 Spotreba PHM_E (cesty)'!AA85)*Parametre!$E$230)/1000</f>
        <v>2809.667734489698</v>
      </c>
      <c r="AB17" s="267">
        <f>AB7-(('08 Spotreba PHM_E (cesty)'!AB84)*Parametre!$E$229+('08 Spotreba PHM_E (cesty)'!AB85)*Parametre!$E$230)/1000</f>
        <v>2809.7313951400779</v>
      </c>
      <c r="AC17" s="267">
        <f>AC7-(('08 Spotreba PHM_E (cesty)'!AC84)*Parametre!$E$229+('08 Spotreba PHM_E (cesty)'!AC85)*Parametre!$E$230)/1000</f>
        <v>2809.7949284691563</v>
      </c>
      <c r="AD17" s="267">
        <f>AD7-(('08 Spotreba PHM_E (cesty)'!AD84)*Parametre!$E$229+('08 Spotreba PHM_E (cesty)'!AD85)*Parametre!$E$230)/1000</f>
        <v>2809.8583347315771</v>
      </c>
      <c r="AE17" s="267">
        <f>AE7-(('08 Spotreba PHM_E (cesty)'!AE84)*Parametre!$E$229+('08 Spotreba PHM_E (cesty)'!AE85)*Parametre!$E$230)/1000</f>
        <v>2809.9216141814727</v>
      </c>
      <c r="AF17" s="267">
        <f>AF7-(('08 Spotreba PHM_E (cesty)'!AF84)*Parametre!$E$229+('08 Spotreba PHM_E (cesty)'!AF85)*Parametre!$E$230)/1000</f>
        <v>2809.9847670724689</v>
      </c>
      <c r="AG17" s="267">
        <f>AG7-(('08 Spotreba PHM_E (cesty)'!AG84)*Parametre!$E$229+('08 Spotreba PHM_E (cesty)'!AG85)*Parametre!$E$230)/1000</f>
        <v>2810.0477936576826</v>
      </c>
      <c r="AH17" s="267">
        <f>AH7-(('08 Spotreba PHM_E (cesty)'!AH84)*Parametre!$E$229+('08 Spotreba PHM_E (cesty)'!AH85)*Parametre!$E$230)/1000</f>
        <v>2778.723328700004</v>
      </c>
      <c r="AI17" s="267">
        <f>AI7-(('08 Spotreba PHM_E (cesty)'!AI84)*Parametre!$E$229+('08 Spotreba PHM_E (cesty)'!AI85)*Parametre!$E$230)/1000</f>
        <v>2747.5242874032201</v>
      </c>
      <c r="AJ17" s="267">
        <f>AJ7-(('08 Spotreba PHM_E (cesty)'!AJ84)*Parametre!$E$229+('08 Spotreba PHM_E (cesty)'!AJ85)*Parametre!$E$230)/1000</f>
        <v>2716.4502933705471</v>
      </c>
      <c r="AK17" s="267">
        <f>AK7-(('08 Spotreba PHM_E (cesty)'!AK84)*Parametre!$E$229+('08 Spotreba PHM_E (cesty)'!AK85)*Parametre!$E$230)/1000</f>
        <v>2685.5009712090941</v>
      </c>
      <c r="AL17" s="267">
        <f>AL7-(('08 Spotreba PHM_E (cesty)'!AL84)*Parametre!$E$229+('08 Spotreba PHM_E (cesty)'!AL85)*Parametre!$E$230)/1000</f>
        <v>2654.6759465273517</v>
      </c>
    </row>
    <row r="18" spans="2:38" x14ac:dyDescent="0.2">
      <c r="B18" s="262" t="s">
        <v>398</v>
      </c>
      <c r="C18" s="280">
        <f>SUM(D18:AL18)</f>
        <v>1473062.3966833809</v>
      </c>
      <c r="D18" s="267">
        <f>D8-(('08 Spotreba PHM_E (cesty)'!D84)*Parametre!$D$112)/1000</f>
        <v>75172.665516425448</v>
      </c>
      <c r="E18" s="267">
        <f>E8-(('08 Spotreba PHM_E (cesty)'!E84)*Parametre!$D$112)/1000</f>
        <v>75172.665516425448</v>
      </c>
      <c r="F18" s="267">
        <f>F8-(('08 Spotreba PHM_E (cesty)'!F84)*Parametre!$D$112)/1000</f>
        <v>75172.665516425448</v>
      </c>
      <c r="G18" s="267">
        <f>G8-(('08 Spotreba PHM_E (cesty)'!G84)*Parametre!$D$112)/1000</f>
        <v>50055.576595892053</v>
      </c>
      <c r="H18" s="267">
        <f>H8-(('08 Spotreba PHM_E (cesty)'!H84)*Parametre!$D$112)/1000</f>
        <v>50055.576595892053</v>
      </c>
      <c r="I18" s="267">
        <f>I8-(('08 Spotreba PHM_E (cesty)'!I84)*Parametre!$D$112)/1000</f>
        <v>50055.576595892053</v>
      </c>
      <c r="J18" s="267">
        <f>J8-(('08 Spotreba PHM_E (cesty)'!J84)*Parametre!$D$112)/1000</f>
        <v>50055.576595892053</v>
      </c>
      <c r="K18" s="267">
        <f>K8-(('08 Spotreba PHM_E (cesty)'!K84)*Parametre!$D$112)/1000</f>
        <v>50055.576595892053</v>
      </c>
      <c r="L18" s="267">
        <f>L8-(('08 Spotreba PHM_E (cesty)'!L84)*Parametre!$D$112)/1000</f>
        <v>50055.576595892053</v>
      </c>
      <c r="M18" s="267">
        <f>M8-(('08 Spotreba PHM_E (cesty)'!M84)*Parametre!$D$112)/1000</f>
        <v>50055.576595892053</v>
      </c>
      <c r="N18" s="267">
        <f>N8-(('08 Spotreba PHM_E (cesty)'!N84)*Parametre!$D$112)/1000</f>
        <v>50055.576595892053</v>
      </c>
      <c r="O18" s="267">
        <f>O8-(('08 Spotreba PHM_E (cesty)'!O84)*Parametre!$D$112)/1000</f>
        <v>50055.576595892053</v>
      </c>
      <c r="P18" s="267">
        <f>P8-(('08 Spotreba PHM_E (cesty)'!P84)*Parametre!$D$112)/1000</f>
        <v>50055.576595892053</v>
      </c>
      <c r="Q18" s="267">
        <f>Q8-(('08 Spotreba PHM_E (cesty)'!Q84)*Parametre!$D$112)/1000</f>
        <v>50055.576595892053</v>
      </c>
      <c r="R18" s="267">
        <f>R8-(('08 Spotreba PHM_E (cesty)'!R84)*Parametre!$D$112)/1000</f>
        <v>50055.576595892053</v>
      </c>
      <c r="S18" s="267">
        <f>S8-(('08 Spotreba PHM_E (cesty)'!S84)*Parametre!$D$112)/1000</f>
        <v>50055.576595892053</v>
      </c>
      <c r="T18" s="267">
        <f>T8-(('08 Spotreba PHM_E (cesty)'!T84)*Parametre!$D$112)/1000</f>
        <v>50105.81077373313</v>
      </c>
      <c r="U18" s="267">
        <f>U8-(('08 Spotreba PHM_E (cesty)'!U84)*Parametre!$D$112)/1000</f>
        <v>50155.944483218511</v>
      </c>
      <c r="V18" s="267">
        <f>V8-(('08 Spotreba PHM_E (cesty)'!V84)*Parametre!$D$112)/1000</f>
        <v>50205.977925284926</v>
      </c>
      <c r="W18" s="267">
        <f>W8-(('08 Spotreba PHM_E (cesty)'!W84)*Parametre!$D$112)/1000</f>
        <v>50255.911300467196</v>
      </c>
      <c r="X18" s="267">
        <f>X8-(('08 Spotreba PHM_E (cesty)'!X84)*Parametre!$D$112)/1000</f>
        <v>50305.744808899122</v>
      </c>
      <c r="Y18" s="267">
        <f>Y8-(('08 Spotreba PHM_E (cesty)'!Y84)*Parametre!$D$112)/1000</f>
        <v>50355.478650314173</v>
      </c>
      <c r="Z18" s="267">
        <f>Z8-(('08 Spotreba PHM_E (cesty)'!Z84)*Parametre!$D$112)/1000</f>
        <v>50405.113024046397</v>
      </c>
      <c r="AA18" s="267">
        <f>AA8-(('08 Spotreba PHM_E (cesty)'!AA84)*Parametre!$D$112)/1000</f>
        <v>50454.648129031157</v>
      </c>
      <c r="AB18" s="267">
        <f>AB8-(('08 Spotreba PHM_E (cesty)'!AB84)*Parametre!$D$112)/1000</f>
        <v>50504.08416380595</v>
      </c>
      <c r="AC18" s="267">
        <f>AC8-(('08 Spotreba PHM_E (cesty)'!AC84)*Parametre!$D$112)/1000</f>
        <v>50553.421326511176</v>
      </c>
      <c r="AD18" s="267">
        <f>AD8-(('08 Spotreba PHM_E (cesty)'!AD84)*Parametre!$D$112)/1000</f>
        <v>50602.659814891013</v>
      </c>
      <c r="AE18" s="267">
        <f>AE8-(('08 Spotreba PHM_E (cesty)'!AE84)*Parametre!$D$112)/1000</f>
        <v>50651.799826294082</v>
      </c>
      <c r="AF18" s="267">
        <f>AF8-(('08 Spotreba PHM_E (cesty)'!AF84)*Parametre!$D$112)/1000</f>
        <v>50700.841557674343</v>
      </c>
      <c r="AG18" s="267">
        <f>AG8-(('08 Spotreba PHM_E (cesty)'!AG84)*Parametre!$D$112)/1000</f>
        <v>50749.785205591848</v>
      </c>
      <c r="AH18" s="267">
        <f>AH8-(('08 Spotreba PHM_E (cesty)'!AH84)*Parametre!$D$112)/1000</f>
        <v>26424.596416001586</v>
      </c>
      <c r="AI18" s="267">
        <f>AI8-(('08 Spotreba PHM_E (cesty)'!AI84)*Parametre!$D$112)/1000</f>
        <v>2196.8060730909056</v>
      </c>
      <c r="AJ18" s="267">
        <f>AJ8-(('08 Spotreba PHM_E (cesty)'!AJ84)*Parametre!$D$112)/1000</f>
        <v>-21933.878116171734</v>
      </c>
      <c r="AK18" s="267">
        <f>AK8-(('08 Spotreba PHM_E (cesty)'!AK84)*Parametre!$D$112)/1000</f>
        <v>-45967.747665239498</v>
      </c>
      <c r="AL18" s="267">
        <f>AL8-(('08 Spotreba PHM_E (cesty)'!AL84)*Parametre!$D$112)/1000</f>
        <v>-69905.093309936492</v>
      </c>
    </row>
    <row r="19" spans="2:38" x14ac:dyDescent="0.2">
      <c r="B19" s="261" t="s">
        <v>35</v>
      </c>
      <c r="C19" s="268">
        <f>SUM(D19:AL19)</f>
        <v>2037808426.3864715</v>
      </c>
      <c r="D19" s="268">
        <f>SUM(D15:D18)</f>
        <v>59142381.953577526</v>
      </c>
      <c r="E19" s="268">
        <f t="shared" ref="E19:AG19" si="10">SUM(E15:E18)</f>
        <v>59142381.953577526</v>
      </c>
      <c r="F19" s="268">
        <f t="shared" si="10"/>
        <v>59142381.953577526</v>
      </c>
      <c r="G19" s="268">
        <f t="shared" si="10"/>
        <v>58444494.03378319</v>
      </c>
      <c r="H19" s="268">
        <f t="shared" si="10"/>
        <v>58444494.03378319</v>
      </c>
      <c r="I19" s="268">
        <f t="shared" si="10"/>
        <v>58444494.03378319</v>
      </c>
      <c r="J19" s="268">
        <f t="shared" si="10"/>
        <v>58444494.03378319</v>
      </c>
      <c r="K19" s="268">
        <f t="shared" si="10"/>
        <v>58444494.03378319</v>
      </c>
      <c r="L19" s="268">
        <f t="shared" si="10"/>
        <v>58444494.03378319</v>
      </c>
      <c r="M19" s="268">
        <f t="shared" si="10"/>
        <v>58444494.03378319</v>
      </c>
      <c r="N19" s="268">
        <f t="shared" si="10"/>
        <v>58444494.03378319</v>
      </c>
      <c r="O19" s="268">
        <f t="shared" si="10"/>
        <v>58444494.03378319</v>
      </c>
      <c r="P19" s="268">
        <f t="shared" si="10"/>
        <v>58444494.03378319</v>
      </c>
      <c r="Q19" s="268">
        <f t="shared" si="10"/>
        <v>58444494.03378319</v>
      </c>
      <c r="R19" s="268">
        <f t="shared" si="10"/>
        <v>58444494.03378319</v>
      </c>
      <c r="S19" s="268">
        <f t="shared" si="10"/>
        <v>58444494.03378319</v>
      </c>
      <c r="T19" s="268">
        <f t="shared" si="10"/>
        <v>58445889.809622779</v>
      </c>
      <c r="U19" s="268">
        <f t="shared" si="10"/>
        <v>58447282.79391069</v>
      </c>
      <c r="V19" s="268">
        <f t="shared" si="10"/>
        <v>58448672.992230028</v>
      </c>
      <c r="W19" s="268">
        <f t="shared" si="10"/>
        <v>58450060.410152718</v>
      </c>
      <c r="X19" s="268">
        <f t="shared" si="10"/>
        <v>58451445.053239562</v>
      </c>
      <c r="Y19" s="268">
        <f t="shared" si="10"/>
        <v>58452826.927040249</v>
      </c>
      <c r="Z19" s="268">
        <f t="shared" si="10"/>
        <v>58454206.037093319</v>
      </c>
      <c r="AA19" s="268">
        <f t="shared" si="10"/>
        <v>58455582.388926283</v>
      </c>
      <c r="AB19" s="268">
        <f t="shared" si="10"/>
        <v>58456955.988055594</v>
      </c>
      <c r="AC19" s="268">
        <f t="shared" si="10"/>
        <v>58458326.839986637</v>
      </c>
      <c r="AD19" s="268">
        <f t="shared" si="10"/>
        <v>58459694.95021382</v>
      </c>
      <c r="AE19" s="268">
        <f t="shared" si="10"/>
        <v>58461060.324220553</v>
      </c>
      <c r="AF19" s="268">
        <f t="shared" si="10"/>
        <v>58462422.967479259</v>
      </c>
      <c r="AG19" s="268">
        <f t="shared" si="10"/>
        <v>58463782.885451458</v>
      </c>
      <c r="AH19" s="268">
        <f t="shared" ref="AH19:AL19" si="11">SUM(AH15:AH18)</f>
        <v>57787898.213597894</v>
      </c>
      <c r="AI19" s="268">
        <f t="shared" si="11"/>
        <v>57114719.79482802</v>
      </c>
      <c r="AJ19" s="268">
        <f t="shared" si="11"/>
        <v>56444239.507668182</v>
      </c>
      <c r="AK19" s="268">
        <f t="shared" si="11"/>
        <v>55776449.252305612</v>
      </c>
      <c r="AL19" s="268">
        <f t="shared" si="11"/>
        <v>55111340.950534284</v>
      </c>
    </row>
    <row r="22" spans="2:38" x14ac:dyDescent="0.2">
      <c r="B22" s="260"/>
      <c r="C22" s="260"/>
      <c r="D22" s="260" t="s">
        <v>10</v>
      </c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0"/>
      <c r="AD22" s="260"/>
      <c r="AE22" s="260"/>
      <c r="AF22" s="260"/>
      <c r="AG22" s="260"/>
      <c r="AH22" s="260"/>
      <c r="AI22" s="260"/>
      <c r="AJ22" s="260"/>
      <c r="AK22" s="260"/>
      <c r="AL22" s="260"/>
    </row>
    <row r="23" spans="2:38" x14ac:dyDescent="0.2">
      <c r="B23" s="261" t="s">
        <v>449</v>
      </c>
      <c r="C23" s="261"/>
      <c r="D23" s="262">
        <v>1</v>
      </c>
      <c r="E23" s="262">
        <v>2</v>
      </c>
      <c r="F23" s="262">
        <v>3</v>
      </c>
      <c r="G23" s="262">
        <v>4</v>
      </c>
      <c r="H23" s="262">
        <v>5</v>
      </c>
      <c r="I23" s="262">
        <v>6</v>
      </c>
      <c r="J23" s="262">
        <v>7</v>
      </c>
      <c r="K23" s="262">
        <v>8</v>
      </c>
      <c r="L23" s="262">
        <v>9</v>
      </c>
      <c r="M23" s="262">
        <v>10</v>
      </c>
      <c r="N23" s="262">
        <v>11</v>
      </c>
      <c r="O23" s="262">
        <v>12</v>
      </c>
      <c r="P23" s="262">
        <v>13</v>
      </c>
      <c r="Q23" s="262">
        <v>14</v>
      </c>
      <c r="R23" s="262">
        <v>15</v>
      </c>
      <c r="S23" s="262">
        <v>16</v>
      </c>
      <c r="T23" s="262">
        <v>17</v>
      </c>
      <c r="U23" s="262">
        <v>18</v>
      </c>
      <c r="V23" s="262">
        <v>19</v>
      </c>
      <c r="W23" s="262">
        <v>20</v>
      </c>
      <c r="X23" s="262">
        <v>21</v>
      </c>
      <c r="Y23" s="262">
        <v>22</v>
      </c>
      <c r="Z23" s="262">
        <v>23</v>
      </c>
      <c r="AA23" s="262">
        <v>24</v>
      </c>
      <c r="AB23" s="262">
        <v>25</v>
      </c>
      <c r="AC23" s="262">
        <v>26</v>
      </c>
      <c r="AD23" s="262">
        <v>27</v>
      </c>
      <c r="AE23" s="262">
        <v>28</v>
      </c>
      <c r="AF23" s="262">
        <v>29</v>
      </c>
      <c r="AG23" s="262">
        <v>30</v>
      </c>
      <c r="AH23" s="262">
        <v>31</v>
      </c>
      <c r="AI23" s="262">
        <v>32</v>
      </c>
      <c r="AJ23" s="262">
        <v>33</v>
      </c>
      <c r="AK23" s="262">
        <v>34</v>
      </c>
      <c r="AL23" s="262">
        <v>35</v>
      </c>
    </row>
    <row r="24" spans="2:38" x14ac:dyDescent="0.2">
      <c r="B24" s="263" t="s">
        <v>63</v>
      </c>
      <c r="C24" s="264" t="s">
        <v>9</v>
      </c>
      <c r="D24" s="265">
        <f t="shared" ref="D24:AG24" si="12">D4</f>
        <v>2025</v>
      </c>
      <c r="E24" s="265">
        <f t="shared" si="12"/>
        <v>2026</v>
      </c>
      <c r="F24" s="265">
        <f t="shared" si="12"/>
        <v>2027</v>
      </c>
      <c r="G24" s="265">
        <f t="shared" si="12"/>
        <v>2028</v>
      </c>
      <c r="H24" s="265">
        <f t="shared" si="12"/>
        <v>2029</v>
      </c>
      <c r="I24" s="265">
        <f t="shared" si="12"/>
        <v>2030</v>
      </c>
      <c r="J24" s="265">
        <f t="shared" si="12"/>
        <v>2031</v>
      </c>
      <c r="K24" s="265">
        <f t="shared" si="12"/>
        <v>2032</v>
      </c>
      <c r="L24" s="265">
        <f t="shared" si="12"/>
        <v>2033</v>
      </c>
      <c r="M24" s="265">
        <f t="shared" si="12"/>
        <v>2034</v>
      </c>
      <c r="N24" s="265">
        <f t="shared" si="12"/>
        <v>2035</v>
      </c>
      <c r="O24" s="265">
        <f t="shared" si="12"/>
        <v>2036</v>
      </c>
      <c r="P24" s="265">
        <f t="shared" si="12"/>
        <v>2037</v>
      </c>
      <c r="Q24" s="265">
        <f t="shared" si="12"/>
        <v>2038</v>
      </c>
      <c r="R24" s="265">
        <f t="shared" si="12"/>
        <v>2039</v>
      </c>
      <c r="S24" s="265">
        <f t="shared" si="12"/>
        <v>2040</v>
      </c>
      <c r="T24" s="265">
        <f t="shared" si="12"/>
        <v>2041</v>
      </c>
      <c r="U24" s="265">
        <f t="shared" si="12"/>
        <v>2042</v>
      </c>
      <c r="V24" s="265">
        <f t="shared" si="12"/>
        <v>2043</v>
      </c>
      <c r="W24" s="265">
        <f t="shared" si="12"/>
        <v>2044</v>
      </c>
      <c r="X24" s="265">
        <f t="shared" si="12"/>
        <v>2045</v>
      </c>
      <c r="Y24" s="265">
        <f t="shared" si="12"/>
        <v>2046</v>
      </c>
      <c r="Z24" s="265">
        <f t="shared" si="12"/>
        <v>2047</v>
      </c>
      <c r="AA24" s="265">
        <f t="shared" si="12"/>
        <v>2048</v>
      </c>
      <c r="AB24" s="265">
        <f t="shared" si="12"/>
        <v>2049</v>
      </c>
      <c r="AC24" s="265">
        <f t="shared" si="12"/>
        <v>2050</v>
      </c>
      <c r="AD24" s="265">
        <f t="shared" si="12"/>
        <v>2051</v>
      </c>
      <c r="AE24" s="265">
        <f t="shared" si="12"/>
        <v>2052</v>
      </c>
      <c r="AF24" s="265">
        <f t="shared" si="12"/>
        <v>2053</v>
      </c>
      <c r="AG24" s="265">
        <f t="shared" si="12"/>
        <v>2054</v>
      </c>
      <c r="AH24" s="265">
        <f t="shared" ref="AH24:AL24" si="13">AH4</f>
        <v>2055</v>
      </c>
      <c r="AI24" s="265">
        <f t="shared" si="13"/>
        <v>2056</v>
      </c>
      <c r="AJ24" s="265">
        <f t="shared" si="13"/>
        <v>2057</v>
      </c>
      <c r="AK24" s="265">
        <f t="shared" si="13"/>
        <v>2058</v>
      </c>
      <c r="AL24" s="265">
        <f t="shared" si="13"/>
        <v>2059</v>
      </c>
    </row>
    <row r="25" spans="2:38" x14ac:dyDescent="0.2">
      <c r="B25" s="260" t="s">
        <v>149</v>
      </c>
      <c r="C25" s="266">
        <f t="shared" ref="C25:C30" si="14">SUM(D25:AL25)</f>
        <v>31008603.813692875</v>
      </c>
      <c r="D25" s="266">
        <f t="shared" ref="D25:AG28" si="15">D5-D15</f>
        <v>0</v>
      </c>
      <c r="E25" s="266">
        <f t="shared" si="15"/>
        <v>0</v>
      </c>
      <c r="F25" s="266">
        <f t="shared" si="15"/>
        <v>0</v>
      </c>
      <c r="G25" s="266">
        <f t="shared" si="15"/>
        <v>672589.5580118373</v>
      </c>
      <c r="H25" s="266">
        <f t="shared" si="15"/>
        <v>672589.5580118373</v>
      </c>
      <c r="I25" s="266">
        <f t="shared" si="15"/>
        <v>672589.5580118373</v>
      </c>
      <c r="J25" s="266">
        <f t="shared" si="15"/>
        <v>672589.5580118373</v>
      </c>
      <c r="K25" s="266">
        <f t="shared" si="15"/>
        <v>672589.5580118373</v>
      </c>
      <c r="L25" s="266">
        <f t="shared" si="15"/>
        <v>672589.5580118373</v>
      </c>
      <c r="M25" s="266">
        <f t="shared" si="15"/>
        <v>672589.5580118373</v>
      </c>
      <c r="N25" s="266">
        <f t="shared" si="15"/>
        <v>672589.5580118373</v>
      </c>
      <c r="O25" s="266">
        <f t="shared" si="15"/>
        <v>672589.5580118373</v>
      </c>
      <c r="P25" s="266">
        <f t="shared" si="15"/>
        <v>672589.5580118373</v>
      </c>
      <c r="Q25" s="266">
        <f t="shared" si="15"/>
        <v>672589.5580118373</v>
      </c>
      <c r="R25" s="266">
        <f t="shared" si="15"/>
        <v>672589.5580118373</v>
      </c>
      <c r="S25" s="266">
        <f t="shared" si="15"/>
        <v>672589.5580118373</v>
      </c>
      <c r="T25" s="266">
        <f t="shared" si="15"/>
        <v>671244.37889581174</v>
      </c>
      <c r="U25" s="266">
        <f t="shared" si="15"/>
        <v>669901.8901380226</v>
      </c>
      <c r="V25" s="266">
        <f t="shared" si="15"/>
        <v>668562.08635774255</v>
      </c>
      <c r="W25" s="266">
        <f t="shared" si="15"/>
        <v>667224.96218502522</v>
      </c>
      <c r="X25" s="266">
        <f t="shared" si="15"/>
        <v>665890.51226066053</v>
      </c>
      <c r="Y25" s="266">
        <f t="shared" si="15"/>
        <v>664558.73123613745</v>
      </c>
      <c r="Z25" s="266">
        <f t="shared" si="15"/>
        <v>663229.61377366632</v>
      </c>
      <c r="AA25" s="266">
        <f t="shared" si="15"/>
        <v>661903.15454611927</v>
      </c>
      <c r="AB25" s="266">
        <f t="shared" si="15"/>
        <v>660579.34823702276</v>
      </c>
      <c r="AC25" s="266">
        <f t="shared" si="15"/>
        <v>659258.18954055011</v>
      </c>
      <c r="AD25" s="266">
        <f t="shared" si="15"/>
        <v>657939.6731614694</v>
      </c>
      <c r="AE25" s="266">
        <f t="shared" si="15"/>
        <v>656623.79381514341</v>
      </c>
      <c r="AF25" s="266">
        <f t="shared" si="15"/>
        <v>655310.54622751474</v>
      </c>
      <c r="AG25" s="266">
        <f t="shared" si="15"/>
        <v>653999.92513506114</v>
      </c>
      <c r="AH25" s="266">
        <f t="shared" ref="AH25:AL25" si="16">AH5-AH15</f>
        <v>1305383.8505695835</v>
      </c>
      <c r="AI25" s="266">
        <f t="shared" si="16"/>
        <v>1954159.6243026629</v>
      </c>
      <c r="AJ25" s="266">
        <f t="shared" si="16"/>
        <v>2600335.0734054148</v>
      </c>
      <c r="AK25" s="266">
        <f t="shared" si="16"/>
        <v>3243918.0040732548</v>
      </c>
      <c r="AL25" s="266">
        <f t="shared" si="16"/>
        <v>3884916.2016781271</v>
      </c>
    </row>
    <row r="26" spans="2:38" x14ac:dyDescent="0.2">
      <c r="B26" s="260" t="s">
        <v>150</v>
      </c>
      <c r="C26" s="266">
        <f t="shared" si="14"/>
        <v>6866.1028925352239</v>
      </c>
      <c r="D26" s="266">
        <f t="shared" si="15"/>
        <v>0</v>
      </c>
      <c r="E26" s="266">
        <f t="shared" si="15"/>
        <v>0</v>
      </c>
      <c r="F26" s="266">
        <f t="shared" si="15"/>
        <v>0</v>
      </c>
      <c r="G26" s="266">
        <f t="shared" si="15"/>
        <v>148.92863727436816</v>
      </c>
      <c r="H26" s="266">
        <f t="shared" si="15"/>
        <v>148.92863727436816</v>
      </c>
      <c r="I26" s="266">
        <f t="shared" si="15"/>
        <v>148.92863727436816</v>
      </c>
      <c r="J26" s="266">
        <f t="shared" si="15"/>
        <v>148.92863727436816</v>
      </c>
      <c r="K26" s="266">
        <f t="shared" si="15"/>
        <v>148.92863727436816</v>
      </c>
      <c r="L26" s="266">
        <f t="shared" si="15"/>
        <v>148.92863727436816</v>
      </c>
      <c r="M26" s="266">
        <f t="shared" si="15"/>
        <v>148.92863727436816</v>
      </c>
      <c r="N26" s="266">
        <f t="shared" si="15"/>
        <v>148.92863727436816</v>
      </c>
      <c r="O26" s="266">
        <f t="shared" si="15"/>
        <v>148.92863727436816</v>
      </c>
      <c r="P26" s="266">
        <f t="shared" si="15"/>
        <v>148.92863727436816</v>
      </c>
      <c r="Q26" s="266">
        <f t="shared" si="15"/>
        <v>148.92863727436816</v>
      </c>
      <c r="R26" s="266">
        <f t="shared" si="15"/>
        <v>148.92863727436816</v>
      </c>
      <c r="S26" s="266">
        <f t="shared" si="15"/>
        <v>148.92863727436816</v>
      </c>
      <c r="T26" s="266">
        <f t="shared" si="15"/>
        <v>148.63077999981942</v>
      </c>
      <c r="U26" s="266">
        <f t="shared" si="15"/>
        <v>148.33351843982018</v>
      </c>
      <c r="V26" s="266">
        <f t="shared" si="15"/>
        <v>148.03685140293965</v>
      </c>
      <c r="W26" s="266">
        <f t="shared" si="15"/>
        <v>147.74077770013355</v>
      </c>
      <c r="X26" s="266">
        <f t="shared" si="15"/>
        <v>147.44529614473322</v>
      </c>
      <c r="Y26" s="266">
        <f t="shared" si="15"/>
        <v>147.15040555244377</v>
      </c>
      <c r="Z26" s="266">
        <f t="shared" si="15"/>
        <v>146.85610474134046</v>
      </c>
      <c r="AA26" s="266">
        <f t="shared" si="15"/>
        <v>146.56239253185777</v>
      </c>
      <c r="AB26" s="266">
        <f t="shared" si="15"/>
        <v>146.26926774679305</v>
      </c>
      <c r="AC26" s="266">
        <f t="shared" si="15"/>
        <v>145.97672921129924</v>
      </c>
      <c r="AD26" s="266">
        <f t="shared" si="15"/>
        <v>145.68477575287761</v>
      </c>
      <c r="AE26" s="266">
        <f t="shared" si="15"/>
        <v>145.39340620137045</v>
      </c>
      <c r="AF26" s="266">
        <f t="shared" si="15"/>
        <v>145.10261938896838</v>
      </c>
      <c r="AG26" s="266">
        <f t="shared" si="15"/>
        <v>144.81241415019031</v>
      </c>
      <c r="AH26" s="266">
        <f t="shared" ref="AH26:AL26" si="17">AH6-AH16</f>
        <v>289.04557864377966</v>
      </c>
      <c r="AI26" s="266">
        <f t="shared" si="17"/>
        <v>432.70123122973928</v>
      </c>
      <c r="AJ26" s="266">
        <f t="shared" si="17"/>
        <v>575.78110502303934</v>
      </c>
      <c r="AK26" s="266">
        <f t="shared" si="17"/>
        <v>718.28692851624146</v>
      </c>
      <c r="AL26" s="266">
        <f t="shared" si="17"/>
        <v>860.22042559105103</v>
      </c>
    </row>
    <row r="27" spans="2:38" x14ac:dyDescent="0.2">
      <c r="B27" s="260" t="s">
        <v>151</v>
      </c>
      <c r="C27" s="266">
        <f t="shared" si="14"/>
        <v>1491.1757653531572</v>
      </c>
      <c r="D27" s="266">
        <f t="shared" si="15"/>
        <v>0</v>
      </c>
      <c r="E27" s="266">
        <f t="shared" si="15"/>
        <v>0</v>
      </c>
      <c r="F27" s="266">
        <f t="shared" si="15"/>
        <v>0</v>
      </c>
      <c r="G27" s="266">
        <f t="shared" si="15"/>
        <v>32.344224685600238</v>
      </c>
      <c r="H27" s="266">
        <f t="shared" si="15"/>
        <v>32.344224685600238</v>
      </c>
      <c r="I27" s="266">
        <f t="shared" si="15"/>
        <v>32.344224685600238</v>
      </c>
      <c r="J27" s="266">
        <f t="shared" si="15"/>
        <v>32.344224685600238</v>
      </c>
      <c r="K27" s="266">
        <f t="shared" si="15"/>
        <v>32.344224685600238</v>
      </c>
      <c r="L27" s="266">
        <f t="shared" si="15"/>
        <v>32.344224685600238</v>
      </c>
      <c r="M27" s="266">
        <f t="shared" si="15"/>
        <v>32.344224685600238</v>
      </c>
      <c r="N27" s="266">
        <f t="shared" si="15"/>
        <v>32.344224685600238</v>
      </c>
      <c r="O27" s="266">
        <f t="shared" si="15"/>
        <v>32.344224685600238</v>
      </c>
      <c r="P27" s="266">
        <f t="shared" si="15"/>
        <v>32.344224685600238</v>
      </c>
      <c r="Q27" s="266">
        <f t="shared" si="15"/>
        <v>32.344224685600238</v>
      </c>
      <c r="R27" s="266">
        <f t="shared" si="15"/>
        <v>32.344224685600238</v>
      </c>
      <c r="S27" s="266">
        <f t="shared" si="15"/>
        <v>32.344224685600238</v>
      </c>
      <c r="T27" s="266">
        <f t="shared" si="15"/>
        <v>32.279536236228978</v>
      </c>
      <c r="U27" s="266">
        <f t="shared" si="15"/>
        <v>32.21497716375643</v>
      </c>
      <c r="V27" s="266">
        <f t="shared" si="15"/>
        <v>32.150547209429078</v>
      </c>
      <c r="W27" s="266">
        <f t="shared" si="15"/>
        <v>32.086246115009999</v>
      </c>
      <c r="X27" s="266">
        <f t="shared" si="15"/>
        <v>32.022073622780226</v>
      </c>
      <c r="Y27" s="266">
        <f t="shared" si="15"/>
        <v>31.958029475534659</v>
      </c>
      <c r="Z27" s="266">
        <f t="shared" si="15"/>
        <v>31.894113416583423</v>
      </c>
      <c r="AA27" s="266">
        <f t="shared" si="15"/>
        <v>31.830325189750511</v>
      </c>
      <c r="AB27" s="266">
        <f t="shared" si="15"/>
        <v>31.766664539370595</v>
      </c>
      <c r="AC27" s="266">
        <f t="shared" si="15"/>
        <v>31.703131210292213</v>
      </c>
      <c r="AD27" s="266">
        <f t="shared" si="15"/>
        <v>31.6397249478714</v>
      </c>
      <c r="AE27" s="266">
        <f t="shared" si="15"/>
        <v>31.576445497975783</v>
      </c>
      <c r="AF27" s="266">
        <f t="shared" si="15"/>
        <v>31.513292606979576</v>
      </c>
      <c r="AG27" s="266">
        <f t="shared" si="15"/>
        <v>31.450266021765856</v>
      </c>
      <c r="AH27" s="266">
        <f t="shared" ref="AH27:AL27" si="18">AH7-AH17</f>
        <v>62.774730979444485</v>
      </c>
      <c r="AI27" s="266">
        <f t="shared" si="18"/>
        <v>93.973772276228374</v>
      </c>
      <c r="AJ27" s="266">
        <f t="shared" si="18"/>
        <v>125.04776630890137</v>
      </c>
      <c r="AK27" s="266">
        <f t="shared" si="18"/>
        <v>155.99708847035436</v>
      </c>
      <c r="AL27" s="266">
        <f t="shared" si="18"/>
        <v>186.82211315209679</v>
      </c>
    </row>
    <row r="28" spans="2:38" x14ac:dyDescent="0.2">
      <c r="B28" s="262" t="s">
        <v>398</v>
      </c>
      <c r="C28" s="280">
        <f t="shared" si="14"/>
        <v>1157980.8963915098</v>
      </c>
      <c r="D28" s="280">
        <f>D8-D18</f>
        <v>0</v>
      </c>
      <c r="E28" s="280">
        <f t="shared" si="15"/>
        <v>0</v>
      </c>
      <c r="F28" s="280">
        <f t="shared" si="15"/>
        <v>0</v>
      </c>
      <c r="G28" s="280">
        <f t="shared" si="15"/>
        <v>25117.088920533395</v>
      </c>
      <c r="H28" s="280">
        <f t="shared" si="15"/>
        <v>25117.088920533395</v>
      </c>
      <c r="I28" s="280">
        <f t="shared" si="15"/>
        <v>25117.088920533395</v>
      </c>
      <c r="J28" s="280">
        <f t="shared" si="15"/>
        <v>25117.088920533395</v>
      </c>
      <c r="K28" s="280">
        <f t="shared" si="15"/>
        <v>25117.088920533395</v>
      </c>
      <c r="L28" s="280">
        <f t="shared" si="15"/>
        <v>25117.088920533395</v>
      </c>
      <c r="M28" s="280">
        <f t="shared" si="15"/>
        <v>25117.088920533395</v>
      </c>
      <c r="N28" s="280">
        <f t="shared" si="15"/>
        <v>25117.088920533395</v>
      </c>
      <c r="O28" s="280">
        <f t="shared" si="15"/>
        <v>25117.088920533395</v>
      </c>
      <c r="P28" s="280">
        <f t="shared" si="15"/>
        <v>25117.088920533395</v>
      </c>
      <c r="Q28" s="280">
        <f t="shared" si="15"/>
        <v>25117.088920533395</v>
      </c>
      <c r="R28" s="280">
        <f t="shared" si="15"/>
        <v>25117.088920533395</v>
      </c>
      <c r="S28" s="280">
        <f t="shared" si="15"/>
        <v>25117.088920533395</v>
      </c>
      <c r="T28" s="280">
        <f t="shared" si="15"/>
        <v>25066.854742692318</v>
      </c>
      <c r="U28" s="280">
        <f t="shared" si="15"/>
        <v>25016.721033206937</v>
      </c>
      <c r="V28" s="280">
        <f t="shared" si="15"/>
        <v>24966.687591140522</v>
      </c>
      <c r="W28" s="280">
        <f t="shared" si="15"/>
        <v>24916.754215958252</v>
      </c>
      <c r="X28" s="280">
        <f t="shared" si="15"/>
        <v>24866.920707526326</v>
      </c>
      <c r="Y28" s="280">
        <f t="shared" si="15"/>
        <v>24817.186866111275</v>
      </c>
      <c r="Z28" s="280">
        <f t="shared" si="15"/>
        <v>24767.552492379051</v>
      </c>
      <c r="AA28" s="280">
        <f t="shared" si="15"/>
        <v>24718.017387394291</v>
      </c>
      <c r="AB28" s="280">
        <f t="shared" si="15"/>
        <v>24668.581352619498</v>
      </c>
      <c r="AC28" s="280">
        <f t="shared" si="15"/>
        <v>24619.244189914272</v>
      </c>
      <c r="AD28" s="280">
        <f t="shared" si="15"/>
        <v>24570.005701534436</v>
      </c>
      <c r="AE28" s="280">
        <f t="shared" si="15"/>
        <v>24520.865690131366</v>
      </c>
      <c r="AF28" s="280">
        <f t="shared" si="15"/>
        <v>24471.823958751105</v>
      </c>
      <c r="AG28" s="280">
        <f t="shared" si="15"/>
        <v>24422.8803108336</v>
      </c>
      <c r="AH28" s="280">
        <f t="shared" ref="AH28:AL28" si="19">AH8-AH18</f>
        <v>48748.069100423862</v>
      </c>
      <c r="AI28" s="280">
        <f t="shared" si="19"/>
        <v>72975.859443334542</v>
      </c>
      <c r="AJ28" s="280">
        <f t="shared" si="19"/>
        <v>97106.543632597182</v>
      </c>
      <c r="AK28" s="280">
        <f t="shared" si="19"/>
        <v>121140.41318166495</v>
      </c>
      <c r="AL28" s="280">
        <f t="shared" si="19"/>
        <v>145077.75882636194</v>
      </c>
    </row>
    <row r="29" spans="2:38" x14ac:dyDescent="0.2">
      <c r="B29" s="270" t="s">
        <v>59</v>
      </c>
      <c r="C29" s="271">
        <f t="shared" si="14"/>
        <v>32174941.988742277</v>
      </c>
      <c r="D29" s="275">
        <f>SUM(D25:D28)</f>
        <v>0</v>
      </c>
      <c r="E29" s="275">
        <f t="shared" ref="E29:AG29" si="20">SUM(E25:E28)</f>
        <v>0</v>
      </c>
      <c r="F29" s="275">
        <f t="shared" si="20"/>
        <v>0</v>
      </c>
      <c r="G29" s="275">
        <f t="shared" si="20"/>
        <v>697887.91979433072</v>
      </c>
      <c r="H29" s="275">
        <f t="shared" si="20"/>
        <v>697887.91979433072</v>
      </c>
      <c r="I29" s="275">
        <f t="shared" si="20"/>
        <v>697887.91979433072</v>
      </c>
      <c r="J29" s="275">
        <f t="shared" si="20"/>
        <v>697887.91979433072</v>
      </c>
      <c r="K29" s="275">
        <f t="shared" si="20"/>
        <v>697887.91979433072</v>
      </c>
      <c r="L29" s="275">
        <f t="shared" si="20"/>
        <v>697887.91979433072</v>
      </c>
      <c r="M29" s="275">
        <f t="shared" si="20"/>
        <v>697887.91979433072</v>
      </c>
      <c r="N29" s="275">
        <f t="shared" si="20"/>
        <v>697887.91979433072</v>
      </c>
      <c r="O29" s="275">
        <f t="shared" si="20"/>
        <v>697887.91979433072</v>
      </c>
      <c r="P29" s="275">
        <f t="shared" si="20"/>
        <v>697887.91979433072</v>
      </c>
      <c r="Q29" s="275">
        <f t="shared" si="20"/>
        <v>697887.91979433072</v>
      </c>
      <c r="R29" s="275">
        <f t="shared" si="20"/>
        <v>697887.91979433072</v>
      </c>
      <c r="S29" s="275">
        <f t="shared" si="20"/>
        <v>697887.91979433072</v>
      </c>
      <c r="T29" s="275">
        <f t="shared" si="20"/>
        <v>696492.14395474002</v>
      </c>
      <c r="U29" s="275">
        <f t="shared" si="20"/>
        <v>695099.159666833</v>
      </c>
      <c r="V29" s="275">
        <f t="shared" si="20"/>
        <v>693708.96134749544</v>
      </c>
      <c r="W29" s="275">
        <f t="shared" si="20"/>
        <v>692321.54342479864</v>
      </c>
      <c r="X29" s="275">
        <f t="shared" si="20"/>
        <v>690936.90033795428</v>
      </c>
      <c r="Y29" s="275">
        <f t="shared" si="20"/>
        <v>689555.02653727669</v>
      </c>
      <c r="Z29" s="275">
        <f t="shared" si="20"/>
        <v>688175.91648420331</v>
      </c>
      <c r="AA29" s="275">
        <f t="shared" si="20"/>
        <v>686799.56465123524</v>
      </c>
      <c r="AB29" s="275">
        <f t="shared" si="20"/>
        <v>685425.96552192839</v>
      </c>
      <c r="AC29" s="275">
        <f t="shared" si="20"/>
        <v>684055.113590886</v>
      </c>
      <c r="AD29" s="275">
        <f t="shared" si="20"/>
        <v>682687.00336370454</v>
      </c>
      <c r="AE29" s="275">
        <f t="shared" si="20"/>
        <v>681321.62935697404</v>
      </c>
      <c r="AF29" s="275">
        <f t="shared" si="20"/>
        <v>679958.98609826178</v>
      </c>
      <c r="AG29" s="275">
        <f t="shared" si="20"/>
        <v>678599.0681260667</v>
      </c>
      <c r="AH29" s="275">
        <f t="shared" ref="AH29:AL29" si="21">SUM(AH25:AH28)</f>
        <v>1354483.7399796306</v>
      </c>
      <c r="AI29" s="275">
        <f t="shared" si="21"/>
        <v>2027662.1587495035</v>
      </c>
      <c r="AJ29" s="275">
        <f t="shared" si="21"/>
        <v>2698142.4459093437</v>
      </c>
      <c r="AK29" s="275">
        <f t="shared" si="21"/>
        <v>3365932.7012719065</v>
      </c>
      <c r="AL29" s="275">
        <f t="shared" si="21"/>
        <v>4031041.003043232</v>
      </c>
    </row>
    <row r="30" spans="2:38" ht="10.35" customHeight="1" x14ac:dyDescent="0.2">
      <c r="B30" s="260" t="s">
        <v>399</v>
      </c>
      <c r="C30" s="266">
        <f t="shared" si="14"/>
        <v>32782607.660473011</v>
      </c>
      <c r="D30" s="266">
        <f>(D25*Parametre!$C$117)+(D26*Parametre!$D$117)+(D27*Parametre!$E$117)+(D28*Parametre!$C$117)</f>
        <v>0</v>
      </c>
      <c r="E30" s="266">
        <f>(E25*Parametre!$C$117)+(E26*Parametre!$D$117)+(E27*Parametre!$E$117)+(E28*Parametre!$C$117)</f>
        <v>0</v>
      </c>
      <c r="F30" s="266">
        <f>(F25*Parametre!$C$117)+(F26*Parametre!$D$117)+(F27*Parametre!$E$117)+(F28*Parametre!$C$117)</f>
        <v>0</v>
      </c>
      <c r="G30" s="266">
        <f>(G25*Parametre!$C$117)+(G26*Parametre!$D$117)+(G27*Parametre!$E$117)+(G28*Parametre!$C$117)</f>
        <v>711068.44182053884</v>
      </c>
      <c r="H30" s="266">
        <f>(H25*Parametre!$C$117)+(H26*Parametre!$D$117)+(H27*Parametre!$E$117)+(H28*Parametre!$C$117)</f>
        <v>711068.44182053884</v>
      </c>
      <c r="I30" s="266">
        <f>(I25*Parametre!$C$117)+(I26*Parametre!$D$117)+(I27*Parametre!$E$117)+(I28*Parametre!$C$117)</f>
        <v>711068.44182053884</v>
      </c>
      <c r="J30" s="266">
        <f>(J25*Parametre!$C$117)+(J26*Parametre!$D$117)+(J27*Parametre!$E$117)+(J28*Parametre!$C$117)</f>
        <v>711068.44182053884</v>
      </c>
      <c r="K30" s="266">
        <f>(K25*Parametre!$C$117)+(K26*Parametre!$D$117)+(K27*Parametre!$E$117)+(K28*Parametre!$C$117)</f>
        <v>711068.44182053884</v>
      </c>
      <c r="L30" s="266">
        <f>(L25*Parametre!$C$117)+(L26*Parametre!$D$117)+(L27*Parametre!$E$117)+(L28*Parametre!$C$117)</f>
        <v>711068.44182053884</v>
      </c>
      <c r="M30" s="266">
        <f>(M25*Parametre!$C$117)+(M26*Parametre!$D$117)+(M27*Parametre!$E$117)+(M28*Parametre!$C$117)</f>
        <v>711068.44182053884</v>
      </c>
      <c r="N30" s="266">
        <f>(N25*Parametre!$C$117)+(N26*Parametre!$D$117)+(N27*Parametre!$E$117)+(N28*Parametre!$C$117)</f>
        <v>711068.44182053884</v>
      </c>
      <c r="O30" s="266">
        <f>(O25*Parametre!$C$117)+(O26*Parametre!$D$117)+(O27*Parametre!$E$117)+(O28*Parametre!$C$117)</f>
        <v>711068.44182053884</v>
      </c>
      <c r="P30" s="266">
        <f>(P25*Parametre!$C$117)+(P26*Parametre!$D$117)+(P27*Parametre!$E$117)+(P28*Parametre!$C$117)</f>
        <v>711068.44182053884</v>
      </c>
      <c r="Q30" s="266">
        <f>(Q25*Parametre!$C$117)+(Q26*Parametre!$D$117)+(Q27*Parametre!$E$117)+(Q28*Parametre!$C$117)</f>
        <v>711068.44182053884</v>
      </c>
      <c r="R30" s="266">
        <f>(R25*Parametre!$C$117)+(R26*Parametre!$D$117)+(R27*Parametre!$E$117)+(R28*Parametre!$C$117)</f>
        <v>711068.44182053884</v>
      </c>
      <c r="S30" s="266">
        <f>(S25*Parametre!$C$117)+(S26*Parametre!$D$117)+(S27*Parametre!$E$117)+(S28*Parametre!$C$117)</f>
        <v>711068.44182053884</v>
      </c>
      <c r="T30" s="266">
        <f>(T25*Parametre!$C$117)+(T26*Parametre!$D$117)+(T27*Parametre!$E$117)+(T28*Parametre!$C$117)</f>
        <v>709646.30493689585</v>
      </c>
      <c r="U30" s="266">
        <f>(U25*Parametre!$C$117)+(U26*Parametre!$D$117)+(U27*Parametre!$E$117)+(U28*Parametre!$C$117)</f>
        <v>708227.01232702448</v>
      </c>
      <c r="V30" s="266">
        <f>(V25*Parametre!$C$117)+(V26*Parametre!$D$117)+(V27*Parametre!$E$117)+(V28*Parametre!$C$117)</f>
        <v>706810.55830236641</v>
      </c>
      <c r="W30" s="266">
        <f>(W25*Parametre!$C$117)+(W26*Parametre!$D$117)+(W27*Parametre!$E$117)+(W28*Parametre!$C$117)</f>
        <v>705396.93718575989</v>
      </c>
      <c r="X30" s="266">
        <f>(X25*Parametre!$C$117)+(X26*Parametre!$D$117)+(X27*Parametre!$E$117)+(X28*Parametre!$C$117)</f>
        <v>703986.14331139368</v>
      </c>
      <c r="Y30" s="266">
        <f>(Y25*Parametre!$C$117)+(Y26*Parametre!$D$117)+(Y27*Parametre!$E$117)+(Y28*Parametre!$C$117)</f>
        <v>702578.17102476908</v>
      </c>
      <c r="Z30" s="266">
        <f>(Z25*Parametre!$C$117)+(Z26*Parametre!$D$117)+(Z27*Parametre!$E$117)+(Z28*Parametre!$C$117)</f>
        <v>701173.01468272076</v>
      </c>
      <c r="AA30" s="266">
        <f>(AA25*Parametre!$C$117)+(AA26*Parametre!$D$117)+(AA27*Parametre!$E$117)+(AA28*Parametre!$C$117)</f>
        <v>699770.66865335568</v>
      </c>
      <c r="AB30" s="266">
        <f>(AB25*Parametre!$C$117)+(AB26*Parametre!$D$117)+(AB27*Parametre!$E$117)+(AB28*Parametre!$C$117)</f>
        <v>698371.12731604441</v>
      </c>
      <c r="AC30" s="266">
        <f>(AC25*Parametre!$C$117)+(AC26*Parametre!$D$117)+(AC27*Parametre!$E$117)+(AC28*Parametre!$C$117)</f>
        <v>696974.38506141398</v>
      </c>
      <c r="AD30" s="266">
        <f>(AD25*Parametre!$C$117)+(AD26*Parametre!$D$117)+(AD27*Parametre!$E$117)+(AD28*Parametre!$C$117)</f>
        <v>695580.43629129149</v>
      </c>
      <c r="AE30" s="266">
        <f>(AE25*Parametre!$C$117)+(AE26*Parametre!$D$117)+(AE27*Parametre!$E$117)+(AE28*Parametre!$C$117)</f>
        <v>694189.27541870577</v>
      </c>
      <c r="AF30" s="266">
        <f>(AF25*Parametre!$C$117)+(AF26*Parametre!$D$117)+(AF27*Parametre!$E$117)+(AF28*Parametre!$C$117)</f>
        <v>692800.89686786989</v>
      </c>
      <c r="AG30" s="266">
        <f>(AG25*Parametre!$C$117)+(AG26*Parametre!$D$117)+(AG27*Parametre!$E$117)+(AG28*Parametre!$C$117)</f>
        <v>691415.29507413576</v>
      </c>
      <c r="AH30" s="266">
        <f>(AH25*Parametre!$C$117)+(AH26*Parametre!$D$117)+(AH27*Parametre!$E$117)+(AH28*Parametre!$C$117)</f>
        <v>1380064.9289679765</v>
      </c>
      <c r="AI30" s="266">
        <f>(AI25*Parametre!$C$117)+(AI26*Parametre!$D$117)+(AI27*Parametre!$E$117)+(AI28*Parametre!$C$117)</f>
        <v>2065957.1986650571</v>
      </c>
      <c r="AJ30" s="266">
        <f>(AJ25*Parametre!$C$117)+(AJ26*Parametre!$D$117)+(AJ27*Parametre!$E$117)+(AJ28*Parametre!$C$117)</f>
        <v>2749100.3790236409</v>
      </c>
      <c r="AK30" s="266">
        <f>(AK25*Parametre!$C$117)+(AK26*Parametre!$D$117)+(AK27*Parametre!$E$117)+(AK28*Parametre!$C$117)</f>
        <v>3429502.722831991</v>
      </c>
      <c r="AL30" s="266">
        <f>(AL25*Parametre!$C$117)+(AL26*Parametre!$D$117)+(AL27*Parametre!$E$117)+(AL28*Parametre!$C$117)</f>
        <v>4107172.4608635902</v>
      </c>
    </row>
    <row r="32" spans="2:38" x14ac:dyDescent="0.2">
      <c r="B32" s="276"/>
      <c r="C32" s="260"/>
      <c r="D32" s="260" t="s">
        <v>10</v>
      </c>
      <c r="E32" s="260"/>
      <c r="F32" s="260"/>
      <c r="G32" s="260"/>
      <c r="H32" s="260"/>
      <c r="I32" s="260"/>
      <c r="J32" s="260"/>
      <c r="K32" s="260"/>
      <c r="L32" s="260"/>
      <c r="M32" s="260"/>
      <c r="N32" s="260"/>
      <c r="O32" s="260"/>
      <c r="P32" s="260"/>
      <c r="Q32" s="260"/>
      <c r="R32" s="260"/>
      <c r="S32" s="260"/>
      <c r="T32" s="260"/>
      <c r="U32" s="260"/>
      <c r="V32" s="260"/>
      <c r="W32" s="260"/>
      <c r="X32" s="260"/>
      <c r="Y32" s="260"/>
      <c r="Z32" s="260"/>
      <c r="AA32" s="260"/>
      <c r="AB32" s="260"/>
      <c r="AC32" s="260"/>
      <c r="AD32" s="260"/>
      <c r="AE32" s="260"/>
      <c r="AF32" s="260"/>
      <c r="AG32" s="260"/>
      <c r="AH32" s="260"/>
      <c r="AI32" s="260"/>
      <c r="AJ32" s="260"/>
      <c r="AK32" s="260"/>
      <c r="AL32" s="260"/>
    </row>
    <row r="33" spans="2:38" x14ac:dyDescent="0.2">
      <c r="B33" s="767" t="s">
        <v>450</v>
      </c>
      <c r="C33" s="261"/>
      <c r="D33" s="262">
        <v>1</v>
      </c>
      <c r="E33" s="262">
        <v>2</v>
      </c>
      <c r="F33" s="262">
        <v>3</v>
      </c>
      <c r="G33" s="262">
        <v>4</v>
      </c>
      <c r="H33" s="262">
        <v>5</v>
      </c>
      <c r="I33" s="262">
        <v>6</v>
      </c>
      <c r="J33" s="262">
        <v>7</v>
      </c>
      <c r="K33" s="262">
        <v>8</v>
      </c>
      <c r="L33" s="262">
        <v>9</v>
      </c>
      <c r="M33" s="262">
        <v>10</v>
      </c>
      <c r="N33" s="262">
        <v>11</v>
      </c>
      <c r="O33" s="262">
        <v>12</v>
      </c>
      <c r="P33" s="262">
        <v>13</v>
      </c>
      <c r="Q33" s="262">
        <v>14</v>
      </c>
      <c r="R33" s="262">
        <v>15</v>
      </c>
      <c r="S33" s="262">
        <v>16</v>
      </c>
      <c r="T33" s="262">
        <v>17</v>
      </c>
      <c r="U33" s="262">
        <v>18</v>
      </c>
      <c r="V33" s="262">
        <v>19</v>
      </c>
      <c r="W33" s="262">
        <v>20</v>
      </c>
      <c r="X33" s="262">
        <v>21</v>
      </c>
      <c r="Y33" s="262">
        <v>22</v>
      </c>
      <c r="Z33" s="262">
        <v>23</v>
      </c>
      <c r="AA33" s="262">
        <v>24</v>
      </c>
      <c r="AB33" s="262">
        <v>25</v>
      </c>
      <c r="AC33" s="262">
        <v>26</v>
      </c>
      <c r="AD33" s="262">
        <v>27</v>
      </c>
      <c r="AE33" s="262">
        <v>28</v>
      </c>
      <c r="AF33" s="262">
        <v>29</v>
      </c>
      <c r="AG33" s="262">
        <v>30</v>
      </c>
      <c r="AH33" s="262">
        <v>31</v>
      </c>
      <c r="AI33" s="262">
        <v>32</v>
      </c>
      <c r="AJ33" s="262">
        <v>33</v>
      </c>
      <c r="AK33" s="262">
        <v>34</v>
      </c>
      <c r="AL33" s="262">
        <v>35</v>
      </c>
    </row>
    <row r="34" spans="2:38" x14ac:dyDescent="0.2">
      <c r="B34" s="768"/>
      <c r="C34" s="264" t="s">
        <v>9</v>
      </c>
      <c r="D34" s="265">
        <f>D4</f>
        <v>2025</v>
      </c>
      <c r="E34" s="265">
        <f t="shared" ref="E34:AG34" si="22">E4</f>
        <v>2026</v>
      </c>
      <c r="F34" s="265">
        <f t="shared" si="22"/>
        <v>2027</v>
      </c>
      <c r="G34" s="265">
        <f t="shared" si="22"/>
        <v>2028</v>
      </c>
      <c r="H34" s="265">
        <f t="shared" si="22"/>
        <v>2029</v>
      </c>
      <c r="I34" s="265">
        <f t="shared" si="22"/>
        <v>2030</v>
      </c>
      <c r="J34" s="265">
        <f t="shared" si="22"/>
        <v>2031</v>
      </c>
      <c r="K34" s="265">
        <f t="shared" si="22"/>
        <v>2032</v>
      </c>
      <c r="L34" s="265">
        <f t="shared" si="22"/>
        <v>2033</v>
      </c>
      <c r="M34" s="265">
        <f t="shared" si="22"/>
        <v>2034</v>
      </c>
      <c r="N34" s="265">
        <f t="shared" si="22"/>
        <v>2035</v>
      </c>
      <c r="O34" s="265">
        <f t="shared" si="22"/>
        <v>2036</v>
      </c>
      <c r="P34" s="265">
        <f t="shared" si="22"/>
        <v>2037</v>
      </c>
      <c r="Q34" s="265">
        <f t="shared" si="22"/>
        <v>2038</v>
      </c>
      <c r="R34" s="265">
        <f t="shared" si="22"/>
        <v>2039</v>
      </c>
      <c r="S34" s="265">
        <f t="shared" si="22"/>
        <v>2040</v>
      </c>
      <c r="T34" s="265">
        <f t="shared" si="22"/>
        <v>2041</v>
      </c>
      <c r="U34" s="265">
        <f t="shared" si="22"/>
        <v>2042</v>
      </c>
      <c r="V34" s="265">
        <f t="shared" si="22"/>
        <v>2043</v>
      </c>
      <c r="W34" s="265">
        <f t="shared" si="22"/>
        <v>2044</v>
      </c>
      <c r="X34" s="265">
        <f t="shared" si="22"/>
        <v>2045</v>
      </c>
      <c r="Y34" s="265">
        <f t="shared" si="22"/>
        <v>2046</v>
      </c>
      <c r="Z34" s="265">
        <f t="shared" si="22"/>
        <v>2047</v>
      </c>
      <c r="AA34" s="265">
        <f t="shared" si="22"/>
        <v>2048</v>
      </c>
      <c r="AB34" s="265">
        <f t="shared" si="22"/>
        <v>2049</v>
      </c>
      <c r="AC34" s="265">
        <f t="shared" si="22"/>
        <v>2050</v>
      </c>
      <c r="AD34" s="265">
        <f t="shared" si="22"/>
        <v>2051</v>
      </c>
      <c r="AE34" s="265">
        <f t="shared" si="22"/>
        <v>2052</v>
      </c>
      <c r="AF34" s="265">
        <f t="shared" si="22"/>
        <v>2053</v>
      </c>
      <c r="AG34" s="265">
        <f t="shared" si="22"/>
        <v>2054</v>
      </c>
      <c r="AH34" s="265">
        <f t="shared" ref="AH34:AL34" si="23">AH4</f>
        <v>2055</v>
      </c>
      <c r="AI34" s="265">
        <f t="shared" si="23"/>
        <v>2056</v>
      </c>
      <c r="AJ34" s="265">
        <f t="shared" si="23"/>
        <v>2057</v>
      </c>
      <c r="AK34" s="265">
        <f t="shared" si="23"/>
        <v>2058</v>
      </c>
      <c r="AL34" s="265">
        <f t="shared" si="23"/>
        <v>2059</v>
      </c>
    </row>
    <row r="35" spans="2:38" x14ac:dyDescent="0.2">
      <c r="B35" s="277" t="s">
        <v>59</v>
      </c>
      <c r="C35" s="278">
        <f>SUM(D35:AL35)</f>
        <v>30262893.131567702</v>
      </c>
      <c r="D35" s="279">
        <f>D30*Parametre!C121/1000</f>
        <v>0</v>
      </c>
      <c r="E35" s="279">
        <f>E30*Parametre!D121/1000</f>
        <v>0</v>
      </c>
      <c r="F35" s="279">
        <f>F30*Parametre!E121/1000</f>
        <v>0</v>
      </c>
      <c r="G35" s="279">
        <f>G30*Parametre!F121/1000</f>
        <v>197961.45420283801</v>
      </c>
      <c r="H35" s="279">
        <f>H30*Parametre!G121/1000</f>
        <v>214884.88311816682</v>
      </c>
      <c r="I35" s="279">
        <f>I30*Parametre!H121/1000</f>
        <v>231808.31203349566</v>
      </c>
      <c r="J35" s="279">
        <f>J30*Parametre!I121/1000</f>
        <v>248731.7409488245</v>
      </c>
      <c r="K35" s="279">
        <f>K30*Parametre!J121/1000</f>
        <v>276605.62386818964</v>
      </c>
      <c r="L35" s="279">
        <f>L30*Parametre!K121/1000</f>
        <v>304479.50678755477</v>
      </c>
      <c r="M35" s="279">
        <f>M30*Parametre!L121/1000</f>
        <v>332353.38970691984</v>
      </c>
      <c r="N35" s="279">
        <f>N30*Parametre!M121/1000</f>
        <v>360227.27262628503</v>
      </c>
      <c r="O35" s="279">
        <f>O30*Parametre!N121/1000</f>
        <v>387958.94185728597</v>
      </c>
      <c r="P35" s="279">
        <f>P30*Parametre!O121/1000</f>
        <v>414837.32895810233</v>
      </c>
      <c r="Q35" s="279">
        <f>Q30*Parametre!P121/1000</f>
        <v>441715.7160589188</v>
      </c>
      <c r="R35" s="279">
        <f>R30*Parametre!Q121/1000</f>
        <v>468594.1031597351</v>
      </c>
      <c r="S35" s="279">
        <f>S30*Parametre!R121/1000</f>
        <v>495472.49026055145</v>
      </c>
      <c r="T35" s="279">
        <f>T30*Parametre!S121/1000</f>
        <v>521235.21097615</v>
      </c>
      <c r="U35" s="279">
        <f>U30*Parametre!T121/1000</f>
        <v>546963.72162016097</v>
      </c>
      <c r="V35" s="279">
        <f>V30*Parametre!U121/1000</f>
        <v>572587.23328074708</v>
      </c>
      <c r="W35" s="279">
        <f>W30*Parametre!V121/1000</f>
        <v>598106.06303980574</v>
      </c>
      <c r="X35" s="279">
        <f>X30*Parametre!W121/1000</f>
        <v>623520.52713090146</v>
      </c>
      <c r="Y35" s="279">
        <f>Y30*Parametre!X121/1000</f>
        <v>648760.6831242718</v>
      </c>
      <c r="Z35" s="279">
        <f>Z30*Parametre!Y121/1000</f>
        <v>674949.14393358713</v>
      </c>
      <c r="AA35" s="279">
        <f>AA30*Parametre!Z121/1000</f>
        <v>701030.25585693168</v>
      </c>
      <c r="AB35" s="279">
        <f>AB30*Parametre!AA121/1000</f>
        <v>727004.34353600233</v>
      </c>
      <c r="AC35" s="279">
        <f>AC30*Parametre!AB121/1000</f>
        <v>752871.7307433394</v>
      </c>
      <c r="AD35" s="279">
        <f>AD30*Parametre!AC121/1000</f>
        <v>778493.62429721339</v>
      </c>
      <c r="AE35" s="279">
        <f>AE30*Parametre!AD121/1000</f>
        <v>784989.23264347238</v>
      </c>
      <c r="AF35" s="279">
        <f>AF30*Parametre!AE121/1000</f>
        <v>790970.78395404713</v>
      </c>
      <c r="AG35" s="279">
        <f>AG30*Parametre!AF121/1000</f>
        <v>796994.4106319563</v>
      </c>
      <c r="AH35" s="279">
        <f>AH30*Parametre!AG121/1000</f>
        <v>1606119.5643329311</v>
      </c>
      <c r="AI35" s="279">
        <f>AI30*Parametre!AH121/1000</f>
        <v>2427499.7084314423</v>
      </c>
      <c r="AJ35" s="279">
        <f>AJ30*Parametre!AI121/1000</f>
        <v>3261257.7796357451</v>
      </c>
      <c r="AK35" s="279">
        <f>AK30*Parametre!AJ121/1000</f>
        <v>4107515.4111358756</v>
      </c>
      <c r="AL35" s="279">
        <f>AL30*Parametre!AK121/1000</f>
        <v>4966392.9396762531</v>
      </c>
    </row>
  </sheetData>
  <sheetProtection algorithmName="SHA-512" hashValue="WbeeRGAcOZ3d6dgtRLZFAq9a9UOT2vlhDvcfNtih2CZP+Fl9Qq7rtK1sKnO6vvK9M/4dF08WGeMoa5hSlWR3kQ==" saltValue="t9DtFx6EhuWmXo23cfJ6eg==" spinCount="100000" sheet="1" objects="1" scenarios="1"/>
  <mergeCells count="1">
    <mergeCell ref="B33:B34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DF723-7784-4827-81C2-67FC9784B8CE}">
  <sheetPr>
    <tabColor rgb="FF99FF33"/>
  </sheetPr>
  <dimension ref="A2:AP121"/>
  <sheetViews>
    <sheetView zoomScale="75" zoomScaleNormal="75" workbookViewId="0"/>
  </sheetViews>
  <sheetFormatPr defaultColWidth="8.85546875" defaultRowHeight="12.75" x14ac:dyDescent="0.2"/>
  <cols>
    <col min="1" max="1" width="56.42578125" style="288" customWidth="1"/>
    <col min="2" max="2" width="26.5703125" style="288" customWidth="1"/>
    <col min="3" max="3" width="27.85546875" style="288" customWidth="1"/>
    <col min="4" max="5" width="20.42578125" style="288" customWidth="1"/>
    <col min="6" max="6" width="26.5703125" style="288" customWidth="1"/>
    <col min="7" max="7" width="16.5703125" style="288" customWidth="1"/>
    <col min="8" max="8" width="16.140625" style="288" customWidth="1"/>
    <col min="9" max="9" width="24.42578125" style="288" customWidth="1"/>
    <col min="10" max="10" width="23.140625" style="288" customWidth="1"/>
    <col min="11" max="11" width="22.85546875" style="288" customWidth="1"/>
    <col min="12" max="12" width="18.140625" style="288" customWidth="1"/>
    <col min="13" max="13" width="19.5703125" style="288" customWidth="1"/>
    <col min="14" max="14" width="18.42578125" style="288" customWidth="1"/>
    <col min="15" max="15" width="20.42578125" style="288" customWidth="1"/>
    <col min="16" max="16" width="20.5703125" style="288" customWidth="1"/>
    <col min="17" max="17" width="15.42578125" style="288" customWidth="1"/>
    <col min="18" max="18" width="12.5703125" style="288" bestFit="1" customWidth="1"/>
    <col min="19" max="19" width="14.5703125" style="288" customWidth="1"/>
    <col min="20" max="25" width="12.5703125" style="288" bestFit="1" customWidth="1"/>
    <col min="26" max="26" width="16.42578125" style="288" bestFit="1" customWidth="1"/>
    <col min="27" max="31" width="12.5703125" style="288" bestFit="1" customWidth="1"/>
    <col min="32" max="37" width="14.28515625" style="288" customWidth="1"/>
    <col min="38" max="38" width="12.5703125" style="288" bestFit="1" customWidth="1"/>
    <col min="39" max="39" width="22.42578125" style="288" bestFit="1" customWidth="1"/>
    <col min="40" max="40" width="12.5703125" style="288" bestFit="1" customWidth="1"/>
    <col min="41" max="41" width="16.42578125" style="288" bestFit="1" customWidth="1"/>
    <col min="42" max="16384" width="8.85546875" style="288"/>
  </cols>
  <sheetData>
    <row r="2" spans="1:40" x14ac:dyDescent="0.2">
      <c r="K2" s="289"/>
      <c r="L2" s="289"/>
      <c r="M2" s="289"/>
      <c r="N2" s="289"/>
    </row>
    <row r="3" spans="1:40" x14ac:dyDescent="0.2">
      <c r="D3" s="290" t="s">
        <v>486</v>
      </c>
    </row>
    <row r="4" spans="1:40" x14ac:dyDescent="0.2">
      <c r="A4" s="291" t="s">
        <v>648</v>
      </c>
      <c r="B4" s="292">
        <f>C57</f>
        <v>3807209.0462935749</v>
      </c>
      <c r="C4" s="293"/>
      <c r="D4" s="792"/>
      <c r="E4" s="792"/>
      <c r="F4" s="792"/>
      <c r="G4" s="792"/>
      <c r="H4" s="792"/>
      <c r="I4" s="792"/>
      <c r="J4" s="792"/>
      <c r="U4" s="294"/>
      <c r="V4" s="295"/>
      <c r="W4" s="296"/>
    </row>
    <row r="5" spans="1:40" ht="15" x14ac:dyDescent="0.25">
      <c r="A5" s="291" t="s">
        <v>487</v>
      </c>
      <c r="B5" s="297">
        <f>D72</f>
        <v>29.298204333333334</v>
      </c>
      <c r="C5" s="298" t="s">
        <v>488</v>
      </c>
      <c r="D5" s="299" t="s">
        <v>658</v>
      </c>
      <c r="G5" s="298"/>
      <c r="U5" s="294"/>
      <c r="V5" s="295"/>
      <c r="W5" s="296"/>
    </row>
    <row r="6" spans="1:40" ht="14.45" customHeight="1" x14ac:dyDescent="0.2">
      <c r="A6" s="291" t="s">
        <v>489</v>
      </c>
      <c r="B6" s="297">
        <v>45.13</v>
      </c>
      <c r="C6" s="298" t="s">
        <v>488</v>
      </c>
      <c r="D6" s="739" t="s">
        <v>490</v>
      </c>
      <c r="E6" s="739"/>
      <c r="F6" s="739"/>
      <c r="G6" s="739"/>
      <c r="H6" s="739"/>
      <c r="I6" s="739"/>
      <c r="U6" s="294"/>
      <c r="V6" s="295"/>
      <c r="W6" s="296"/>
    </row>
    <row r="7" spans="1:40" ht="14.45" customHeight="1" x14ac:dyDescent="0.2">
      <c r="A7" s="291" t="s">
        <v>491</v>
      </c>
      <c r="B7" s="297">
        <v>81.212999999999994</v>
      </c>
      <c r="C7" s="289" t="s">
        <v>492</v>
      </c>
      <c r="D7" s="739" t="s">
        <v>493</v>
      </c>
      <c r="E7" s="739"/>
      <c r="F7" s="739"/>
      <c r="G7" s="739"/>
      <c r="H7" s="739"/>
      <c r="I7" s="739"/>
      <c r="J7" s="739"/>
      <c r="K7" s="739"/>
      <c r="U7" s="294"/>
      <c r="V7" s="295"/>
      <c r="W7" s="296"/>
    </row>
    <row r="8" spans="1:40" ht="14.45" customHeight="1" x14ac:dyDescent="0.2">
      <c r="A8" s="291" t="s">
        <v>494</v>
      </c>
      <c r="B8" s="297">
        <v>81.73</v>
      </c>
      <c r="C8" s="289" t="s">
        <v>492</v>
      </c>
      <c r="D8" s="739" t="s">
        <v>495</v>
      </c>
      <c r="E8" s="739"/>
      <c r="F8" s="739"/>
      <c r="G8" s="739"/>
      <c r="H8" s="739"/>
      <c r="I8" s="739"/>
      <c r="J8" s="739"/>
      <c r="K8" s="739"/>
      <c r="U8" s="294"/>
      <c r="V8" s="295"/>
      <c r="W8" s="296"/>
    </row>
    <row r="9" spans="1:40" ht="14.45" customHeight="1" x14ac:dyDescent="0.2">
      <c r="A9" s="291" t="s">
        <v>496</v>
      </c>
      <c r="B9" s="297">
        <v>59.346832604462698</v>
      </c>
      <c r="C9" s="289" t="s">
        <v>492</v>
      </c>
      <c r="D9" s="300" t="s">
        <v>497</v>
      </c>
      <c r="E9" s="300"/>
      <c r="F9" s="300"/>
      <c r="G9" s="300"/>
      <c r="H9" s="300"/>
      <c r="I9" s="300"/>
      <c r="J9" s="300"/>
      <c r="K9" s="300"/>
      <c r="U9" s="294"/>
      <c r="V9" s="295"/>
      <c r="W9" s="296"/>
    </row>
    <row r="10" spans="1:40" ht="14.45" customHeight="1" x14ac:dyDescent="0.2">
      <c r="A10" s="291" t="s">
        <v>498</v>
      </c>
      <c r="B10" s="297">
        <f>-0.75</f>
        <v>-0.75</v>
      </c>
      <c r="C10" s="301"/>
      <c r="D10" s="739" t="s">
        <v>499</v>
      </c>
      <c r="E10" s="739"/>
      <c r="F10" s="739"/>
      <c r="G10" s="739"/>
      <c r="H10" s="739"/>
      <c r="I10" s="739"/>
      <c r="J10" s="739"/>
      <c r="K10" s="739"/>
      <c r="U10" s="294"/>
      <c r="V10" s="295"/>
      <c r="W10" s="296"/>
    </row>
    <row r="11" spans="1:40" ht="13.35" customHeight="1" x14ac:dyDescent="0.2">
      <c r="A11" s="291" t="s">
        <v>500</v>
      </c>
      <c r="B11" s="679">
        <f>(0.94/60/C20)</f>
        <v>4.3427132445534505E-2</v>
      </c>
      <c r="C11" s="302"/>
      <c r="D11" s="739" t="s">
        <v>501</v>
      </c>
      <c r="E11" s="739"/>
      <c r="F11" s="739"/>
      <c r="G11" s="739"/>
      <c r="H11" s="739"/>
      <c r="I11" s="739"/>
      <c r="J11" s="739"/>
      <c r="K11" s="739"/>
      <c r="U11" s="294"/>
      <c r="V11" s="295"/>
      <c r="W11" s="296"/>
    </row>
    <row r="12" spans="1:40" ht="14.45" customHeight="1" x14ac:dyDescent="0.2">
      <c r="A12" s="291" t="s">
        <v>502</v>
      </c>
      <c r="B12" s="303">
        <v>1</v>
      </c>
      <c r="C12" s="298"/>
      <c r="D12" s="739" t="s">
        <v>503</v>
      </c>
      <c r="E12" s="739"/>
      <c r="F12" s="739"/>
      <c r="G12" s="739"/>
      <c r="H12" s="739"/>
      <c r="I12" s="739"/>
    </row>
    <row r="13" spans="1:40" ht="14.45" customHeight="1" x14ac:dyDescent="0.2">
      <c r="A13" s="291" t="s">
        <v>651</v>
      </c>
      <c r="B13" s="304">
        <v>1.51</v>
      </c>
      <c r="C13" s="298" t="s">
        <v>504</v>
      </c>
      <c r="D13" s="739" t="s">
        <v>505</v>
      </c>
      <c r="E13" s="739"/>
      <c r="F13" s="739"/>
      <c r="G13" s="739"/>
      <c r="H13" s="739"/>
      <c r="I13" s="739"/>
      <c r="AN13" s="305"/>
    </row>
    <row r="14" spans="1:40" ht="23.25" customHeight="1" x14ac:dyDescent="0.2">
      <c r="A14" s="306"/>
      <c r="B14" s="306"/>
      <c r="C14" s="306"/>
      <c r="AN14" s="305"/>
    </row>
    <row r="15" spans="1:40" s="298" customFormat="1" ht="16.350000000000001" customHeight="1" x14ac:dyDescent="0.2">
      <c r="A15" s="307" t="s">
        <v>506</v>
      </c>
      <c r="B15" s="308"/>
      <c r="C15" s="309">
        <v>1</v>
      </c>
      <c r="D15" s="309">
        <v>2</v>
      </c>
      <c r="E15" s="309">
        <v>3</v>
      </c>
      <c r="F15" s="309">
        <v>4</v>
      </c>
      <c r="G15" s="309">
        <v>5</v>
      </c>
      <c r="H15" s="309">
        <v>6</v>
      </c>
      <c r="I15" s="309">
        <v>7</v>
      </c>
      <c r="J15" s="309">
        <v>8</v>
      </c>
      <c r="K15" s="309">
        <v>9</v>
      </c>
      <c r="L15" s="309">
        <v>10</v>
      </c>
      <c r="M15" s="309">
        <v>11</v>
      </c>
      <c r="N15" s="309">
        <v>12</v>
      </c>
      <c r="O15" s="309">
        <v>13</v>
      </c>
      <c r="P15" s="309">
        <v>14</v>
      </c>
      <c r="Q15" s="309">
        <v>15</v>
      </c>
      <c r="R15" s="309">
        <v>16</v>
      </c>
      <c r="S15" s="309">
        <v>17</v>
      </c>
      <c r="T15" s="309">
        <v>18</v>
      </c>
      <c r="U15" s="309">
        <v>19</v>
      </c>
      <c r="V15" s="309">
        <v>20</v>
      </c>
      <c r="W15" s="309">
        <v>21</v>
      </c>
      <c r="X15" s="309">
        <v>22</v>
      </c>
      <c r="Y15" s="309">
        <v>23</v>
      </c>
      <c r="Z15" s="309">
        <v>24</v>
      </c>
      <c r="AA15" s="309">
        <v>25</v>
      </c>
      <c r="AB15" s="309">
        <v>26</v>
      </c>
      <c r="AC15" s="309">
        <v>27</v>
      </c>
      <c r="AD15" s="309">
        <v>28</v>
      </c>
      <c r="AE15" s="309">
        <v>29</v>
      </c>
      <c r="AF15" s="309">
        <v>30</v>
      </c>
      <c r="AG15" s="309">
        <v>31</v>
      </c>
      <c r="AH15" s="309">
        <v>32</v>
      </c>
      <c r="AI15" s="309">
        <v>33</v>
      </c>
      <c r="AJ15" s="309">
        <v>34</v>
      </c>
      <c r="AK15" s="309">
        <v>35</v>
      </c>
      <c r="AN15" s="310"/>
    </row>
    <row r="16" spans="1:40" s="298" customFormat="1" ht="25.35" customHeight="1" x14ac:dyDescent="0.2">
      <c r="A16" s="308" t="s">
        <v>507</v>
      </c>
      <c r="B16" s="311" t="s">
        <v>508</v>
      </c>
      <c r="C16" s="312">
        <v>2025</v>
      </c>
      <c r="D16" s="312">
        <v>2026</v>
      </c>
      <c r="E16" s="312">
        <v>2027</v>
      </c>
      <c r="F16" s="312">
        <v>2028</v>
      </c>
      <c r="G16" s="312">
        <v>2029</v>
      </c>
      <c r="H16" s="312">
        <v>2030</v>
      </c>
      <c r="I16" s="312">
        <v>2031</v>
      </c>
      <c r="J16" s="312">
        <v>2032</v>
      </c>
      <c r="K16" s="312">
        <v>2033</v>
      </c>
      <c r="L16" s="312">
        <v>2034</v>
      </c>
      <c r="M16" s="312">
        <v>2035</v>
      </c>
      <c r="N16" s="312">
        <v>2036</v>
      </c>
      <c r="O16" s="312">
        <v>2037</v>
      </c>
      <c r="P16" s="312">
        <v>2038</v>
      </c>
      <c r="Q16" s="312">
        <v>2039</v>
      </c>
      <c r="R16" s="312">
        <v>2040</v>
      </c>
      <c r="S16" s="312">
        <v>2041</v>
      </c>
      <c r="T16" s="312">
        <v>2042</v>
      </c>
      <c r="U16" s="312">
        <v>2043</v>
      </c>
      <c r="V16" s="312">
        <v>2044</v>
      </c>
      <c r="W16" s="312">
        <v>2045</v>
      </c>
      <c r="X16" s="312">
        <v>2046</v>
      </c>
      <c r="Y16" s="312">
        <v>2047</v>
      </c>
      <c r="Z16" s="312">
        <v>2048</v>
      </c>
      <c r="AA16" s="312">
        <v>2049</v>
      </c>
      <c r="AB16" s="312">
        <v>2050</v>
      </c>
      <c r="AC16" s="312">
        <v>2051</v>
      </c>
      <c r="AD16" s="312">
        <v>2052</v>
      </c>
      <c r="AE16" s="312">
        <v>2053</v>
      </c>
      <c r="AF16" s="312">
        <v>2054</v>
      </c>
      <c r="AG16" s="312">
        <v>2055</v>
      </c>
      <c r="AH16" s="312">
        <v>2056</v>
      </c>
      <c r="AI16" s="312">
        <v>2057</v>
      </c>
      <c r="AJ16" s="312">
        <v>2058</v>
      </c>
      <c r="AK16" s="312">
        <v>2059</v>
      </c>
      <c r="AN16" s="310"/>
    </row>
    <row r="17" spans="1:40" s="316" customFormat="1" ht="45.2" customHeight="1" x14ac:dyDescent="0.3">
      <c r="A17" s="313" t="s">
        <v>509</v>
      </c>
      <c r="B17" s="314">
        <f>SUM(C17:AM17)</f>
        <v>132339421.94665535</v>
      </c>
      <c r="C17" s="315">
        <f>E86</f>
        <v>3814827.2715952075</v>
      </c>
      <c r="D17" s="315">
        <f t="shared" ref="D17:AK17" si="0">F86</f>
        <v>3818642.0988668022</v>
      </c>
      <c r="E17" s="315">
        <f t="shared" si="0"/>
        <v>3822460.7409656686</v>
      </c>
      <c r="F17" s="315">
        <f t="shared" si="0"/>
        <v>3822460.7409656686</v>
      </c>
      <c r="G17" s="315">
        <f t="shared" si="0"/>
        <v>3822460.7409656686</v>
      </c>
      <c r="H17" s="315">
        <f t="shared" si="0"/>
        <v>3822460.7409656686</v>
      </c>
      <c r="I17" s="315">
        <f t="shared" si="0"/>
        <v>3822460.7409656686</v>
      </c>
      <c r="J17" s="315">
        <f t="shared" si="0"/>
        <v>3822460.7409656686</v>
      </c>
      <c r="K17" s="315">
        <f t="shared" si="0"/>
        <v>3822460.7409656686</v>
      </c>
      <c r="L17" s="315">
        <f t="shared" si="0"/>
        <v>3822460.7409656686</v>
      </c>
      <c r="M17" s="315">
        <f t="shared" si="0"/>
        <v>3822460.7409656686</v>
      </c>
      <c r="N17" s="315">
        <f t="shared" si="0"/>
        <v>3822460.7409656686</v>
      </c>
      <c r="O17" s="315">
        <f t="shared" si="0"/>
        <v>3822460.7409656686</v>
      </c>
      <c r="P17" s="315">
        <f t="shared" si="0"/>
        <v>3822460.7409656686</v>
      </c>
      <c r="Q17" s="315">
        <f t="shared" si="0"/>
        <v>3822460.7409656686</v>
      </c>
      <c r="R17" s="315">
        <f t="shared" si="0"/>
        <v>3822460.7409656686</v>
      </c>
      <c r="S17" s="315">
        <f t="shared" si="0"/>
        <v>3814815.8194837375</v>
      </c>
      <c r="T17" s="315">
        <f t="shared" si="0"/>
        <v>3807186.18784477</v>
      </c>
      <c r="U17" s="315">
        <f t="shared" si="0"/>
        <v>3799571.8154690806</v>
      </c>
      <c r="V17" s="315">
        <f t="shared" si="0"/>
        <v>3791972.6718381424</v>
      </c>
      <c r="W17" s="315">
        <f t="shared" si="0"/>
        <v>3784388.726494466</v>
      </c>
      <c r="X17" s="315">
        <f t="shared" si="0"/>
        <v>3776819.9490414769</v>
      </c>
      <c r="Y17" s="315">
        <f t="shared" si="0"/>
        <v>3769266.3091433938</v>
      </c>
      <c r="Z17" s="315">
        <f t="shared" si="0"/>
        <v>3761727.7765251067</v>
      </c>
      <c r="AA17" s="315">
        <f t="shared" si="0"/>
        <v>3754204.3209720566</v>
      </c>
      <c r="AB17" s="315">
        <f t="shared" si="0"/>
        <v>3746695.9123301124</v>
      </c>
      <c r="AC17" s="315">
        <f t="shared" si="0"/>
        <v>3739202.5205054521</v>
      </c>
      <c r="AD17" s="315">
        <f t="shared" si="0"/>
        <v>3731724.115464441</v>
      </c>
      <c r="AE17" s="315">
        <f t="shared" si="0"/>
        <v>3724260.6672335123</v>
      </c>
      <c r="AF17" s="315">
        <f t="shared" si="0"/>
        <v>3716812.1458990453</v>
      </c>
      <c r="AG17" s="315">
        <f t="shared" si="0"/>
        <v>3709378.5216072472</v>
      </c>
      <c r="AH17" s="315">
        <f t="shared" si="0"/>
        <v>3701959.7645640327</v>
      </c>
      <c r="AI17" s="315">
        <f t="shared" si="0"/>
        <v>3694555.8450349048</v>
      </c>
      <c r="AJ17" s="315">
        <f t="shared" si="0"/>
        <v>3687166.7333448348</v>
      </c>
      <c r="AK17" s="315">
        <f t="shared" si="0"/>
        <v>3679792.3998781452</v>
      </c>
      <c r="AN17" s="310"/>
    </row>
    <row r="18" spans="1:40" s="298" customFormat="1" ht="13.35" customHeight="1" x14ac:dyDescent="0.2">
      <c r="A18" s="304" t="s">
        <v>510</v>
      </c>
      <c r="B18" s="317">
        <f>SUM(C18:AK18)</f>
        <v>3877307425.5483255</v>
      </c>
      <c r="C18" s="292">
        <f>C17*$B$5</f>
        <v>111767588.89956889</v>
      </c>
      <c r="D18" s="292">
        <f>D17*$B$5</f>
        <v>111879356.48846844</v>
      </c>
      <c r="E18" s="292">
        <f t="shared" ref="E18:AF18" si="1">E17*$B$5</f>
        <v>111991235.8449569</v>
      </c>
      <c r="F18" s="292">
        <f>F17*$B$5</f>
        <v>111991235.8449569</v>
      </c>
      <c r="G18" s="292">
        <f t="shared" si="1"/>
        <v>111991235.8449569</v>
      </c>
      <c r="H18" s="292">
        <f t="shared" si="1"/>
        <v>111991235.8449569</v>
      </c>
      <c r="I18" s="292">
        <f t="shared" si="1"/>
        <v>111991235.8449569</v>
      </c>
      <c r="J18" s="292">
        <f t="shared" si="1"/>
        <v>111991235.8449569</v>
      </c>
      <c r="K18" s="292">
        <f t="shared" si="1"/>
        <v>111991235.8449569</v>
      </c>
      <c r="L18" s="292">
        <f t="shared" si="1"/>
        <v>111991235.8449569</v>
      </c>
      <c r="M18" s="292">
        <f t="shared" si="1"/>
        <v>111991235.8449569</v>
      </c>
      <c r="N18" s="292">
        <f t="shared" si="1"/>
        <v>111991235.8449569</v>
      </c>
      <c r="O18" s="292">
        <f t="shared" si="1"/>
        <v>111991235.8449569</v>
      </c>
      <c r="P18" s="292">
        <f t="shared" si="1"/>
        <v>111991235.8449569</v>
      </c>
      <c r="Q18" s="292">
        <f t="shared" si="1"/>
        <v>111991235.8449569</v>
      </c>
      <c r="R18" s="292">
        <f t="shared" si="1"/>
        <v>111991235.8449569</v>
      </c>
      <c r="S18" s="292">
        <f t="shared" si="1"/>
        <v>111767253.37326699</v>
      </c>
      <c r="T18" s="292">
        <f t="shared" si="1"/>
        <v>111543718.86652046</v>
      </c>
      <c r="U18" s="292">
        <f t="shared" si="1"/>
        <v>111320631.42878743</v>
      </c>
      <c r="V18" s="292">
        <f t="shared" si="1"/>
        <v>111097990.16592985</v>
      </c>
      <c r="W18" s="292">
        <f t="shared" si="1"/>
        <v>110875794.18559799</v>
      </c>
      <c r="X18" s="292">
        <f t="shared" si="1"/>
        <v>110654042.59722678</v>
      </c>
      <c r="Y18" s="292">
        <f t="shared" si="1"/>
        <v>110432734.51203233</v>
      </c>
      <c r="Z18" s="292">
        <f t="shared" si="1"/>
        <v>110211869.04300825</v>
      </c>
      <c r="AA18" s="292">
        <f t="shared" si="1"/>
        <v>109991445.30492224</v>
      </c>
      <c r="AB18" s="292">
        <f t="shared" si="1"/>
        <v>109771462.41431239</v>
      </c>
      <c r="AC18" s="292">
        <f t="shared" si="1"/>
        <v>109551919.48948376</v>
      </c>
      <c r="AD18" s="292">
        <f t="shared" si="1"/>
        <v>109332815.65050478</v>
      </c>
      <c r="AE18" s="292">
        <f t="shared" si="1"/>
        <v>109114150.01920378</v>
      </c>
      <c r="AF18" s="292">
        <f t="shared" si="1"/>
        <v>108895921.71916538</v>
      </c>
      <c r="AG18" s="292">
        <f t="shared" ref="AG18:AK18" si="2">AG17*$B$5</f>
        <v>108678129.87572704</v>
      </c>
      <c r="AH18" s="292">
        <f t="shared" si="2"/>
        <v>108460773.61597559</v>
      </c>
      <c r="AI18" s="292">
        <f t="shared" si="2"/>
        <v>108243852.06874365</v>
      </c>
      <c r="AJ18" s="292">
        <f t="shared" si="2"/>
        <v>108027364.36460616</v>
      </c>
      <c r="AK18" s="292">
        <f t="shared" si="2"/>
        <v>107811309.63587694</v>
      </c>
      <c r="AN18" s="310"/>
    </row>
    <row r="19" spans="1:40" s="298" customFormat="1" ht="13.35" customHeight="1" x14ac:dyDescent="0.2">
      <c r="A19" s="304" t="s">
        <v>511</v>
      </c>
      <c r="B19" s="317"/>
      <c r="C19" s="292">
        <f>B7</f>
        <v>81.212999999999994</v>
      </c>
      <c r="D19" s="292">
        <f t="shared" ref="D19:AF19" si="3">C19</f>
        <v>81.212999999999994</v>
      </c>
      <c r="E19" s="292">
        <f t="shared" si="3"/>
        <v>81.212999999999994</v>
      </c>
      <c r="F19" s="292">
        <f>E19</f>
        <v>81.212999999999994</v>
      </c>
      <c r="G19" s="292">
        <f t="shared" si="3"/>
        <v>81.212999999999994</v>
      </c>
      <c r="H19" s="292">
        <f t="shared" si="3"/>
        <v>81.212999999999994</v>
      </c>
      <c r="I19" s="292">
        <f t="shared" si="3"/>
        <v>81.212999999999994</v>
      </c>
      <c r="J19" s="292">
        <f t="shared" si="3"/>
        <v>81.212999999999994</v>
      </c>
      <c r="K19" s="292">
        <f t="shared" si="3"/>
        <v>81.212999999999994</v>
      </c>
      <c r="L19" s="292">
        <f t="shared" si="3"/>
        <v>81.212999999999994</v>
      </c>
      <c r="M19" s="292">
        <f t="shared" si="3"/>
        <v>81.212999999999994</v>
      </c>
      <c r="N19" s="292">
        <f t="shared" si="3"/>
        <v>81.212999999999994</v>
      </c>
      <c r="O19" s="292">
        <f t="shared" si="3"/>
        <v>81.212999999999994</v>
      </c>
      <c r="P19" s="292">
        <f t="shared" si="3"/>
        <v>81.212999999999994</v>
      </c>
      <c r="Q19" s="292">
        <f t="shared" si="3"/>
        <v>81.212999999999994</v>
      </c>
      <c r="R19" s="292">
        <f t="shared" si="3"/>
        <v>81.212999999999994</v>
      </c>
      <c r="S19" s="292">
        <f t="shared" si="3"/>
        <v>81.212999999999994</v>
      </c>
      <c r="T19" s="292">
        <f t="shared" si="3"/>
        <v>81.212999999999994</v>
      </c>
      <c r="U19" s="292">
        <f t="shared" si="3"/>
        <v>81.212999999999994</v>
      </c>
      <c r="V19" s="292">
        <f t="shared" si="3"/>
        <v>81.212999999999994</v>
      </c>
      <c r="W19" s="292">
        <f t="shared" si="3"/>
        <v>81.212999999999994</v>
      </c>
      <c r="X19" s="292">
        <f t="shared" si="3"/>
        <v>81.212999999999994</v>
      </c>
      <c r="Y19" s="292">
        <f t="shared" si="3"/>
        <v>81.212999999999994</v>
      </c>
      <c r="Z19" s="292">
        <f t="shared" si="3"/>
        <v>81.212999999999994</v>
      </c>
      <c r="AA19" s="292">
        <f t="shared" si="3"/>
        <v>81.212999999999994</v>
      </c>
      <c r="AB19" s="292">
        <f t="shared" si="3"/>
        <v>81.212999999999994</v>
      </c>
      <c r="AC19" s="292">
        <f t="shared" si="3"/>
        <v>81.212999999999994</v>
      </c>
      <c r="AD19" s="292">
        <f t="shared" si="3"/>
        <v>81.212999999999994</v>
      </c>
      <c r="AE19" s="292">
        <f t="shared" si="3"/>
        <v>81.212999999999994</v>
      </c>
      <c r="AF19" s="292">
        <f t="shared" si="3"/>
        <v>81.212999999999994</v>
      </c>
      <c r="AG19" s="292">
        <f t="shared" ref="AG19" si="4">AF19</f>
        <v>81.212999999999994</v>
      </c>
      <c r="AH19" s="292">
        <f t="shared" ref="AH19" si="5">AG19</f>
        <v>81.212999999999994</v>
      </c>
      <c r="AI19" s="292">
        <f t="shared" ref="AI19" si="6">AH19</f>
        <v>81.212999999999994</v>
      </c>
      <c r="AJ19" s="292">
        <f t="shared" ref="AJ19" si="7">AI19</f>
        <v>81.212999999999994</v>
      </c>
      <c r="AK19" s="292">
        <f t="shared" ref="AK19" si="8">AJ19</f>
        <v>81.212999999999994</v>
      </c>
      <c r="AN19" s="310"/>
    </row>
    <row r="20" spans="1:40" s="298" customFormat="1" ht="13.35" customHeight="1" x14ac:dyDescent="0.2">
      <c r="A20" s="304" t="s">
        <v>512</v>
      </c>
      <c r="B20" s="317"/>
      <c r="C20" s="318">
        <f>$B$5/C19</f>
        <v>0.36075756754870941</v>
      </c>
      <c r="D20" s="318">
        <f>$B$5/D19</f>
        <v>0.36075756754870941</v>
      </c>
      <c r="E20" s="318">
        <f t="shared" ref="E20:AF20" si="9">$B$5/E19</f>
        <v>0.36075756754870941</v>
      </c>
      <c r="F20" s="318">
        <f t="shared" si="9"/>
        <v>0.36075756754870941</v>
      </c>
      <c r="G20" s="318">
        <f t="shared" si="9"/>
        <v>0.36075756754870941</v>
      </c>
      <c r="H20" s="318">
        <f t="shared" si="9"/>
        <v>0.36075756754870941</v>
      </c>
      <c r="I20" s="318">
        <f t="shared" si="9"/>
        <v>0.36075756754870941</v>
      </c>
      <c r="J20" s="318">
        <f t="shared" si="9"/>
        <v>0.36075756754870941</v>
      </c>
      <c r="K20" s="318">
        <f t="shared" si="9"/>
        <v>0.36075756754870941</v>
      </c>
      <c r="L20" s="318">
        <f t="shared" si="9"/>
        <v>0.36075756754870941</v>
      </c>
      <c r="M20" s="318">
        <f t="shared" si="9"/>
        <v>0.36075756754870941</v>
      </c>
      <c r="N20" s="318">
        <f t="shared" si="9"/>
        <v>0.36075756754870941</v>
      </c>
      <c r="O20" s="318">
        <f t="shared" si="9"/>
        <v>0.36075756754870941</v>
      </c>
      <c r="P20" s="318">
        <f t="shared" si="9"/>
        <v>0.36075756754870941</v>
      </c>
      <c r="Q20" s="318">
        <f t="shared" si="9"/>
        <v>0.36075756754870941</v>
      </c>
      <c r="R20" s="318">
        <f t="shared" si="9"/>
        <v>0.36075756754870941</v>
      </c>
      <c r="S20" s="318">
        <f t="shared" si="9"/>
        <v>0.36075756754870941</v>
      </c>
      <c r="T20" s="318">
        <f t="shared" si="9"/>
        <v>0.36075756754870941</v>
      </c>
      <c r="U20" s="318">
        <f t="shared" si="9"/>
        <v>0.36075756754870941</v>
      </c>
      <c r="V20" s="318">
        <f t="shared" si="9"/>
        <v>0.36075756754870941</v>
      </c>
      <c r="W20" s="318">
        <f t="shared" si="9"/>
        <v>0.36075756754870941</v>
      </c>
      <c r="X20" s="318">
        <f t="shared" si="9"/>
        <v>0.36075756754870941</v>
      </c>
      <c r="Y20" s="318">
        <f t="shared" si="9"/>
        <v>0.36075756754870941</v>
      </c>
      <c r="Z20" s="318">
        <f t="shared" si="9"/>
        <v>0.36075756754870941</v>
      </c>
      <c r="AA20" s="318">
        <f t="shared" si="9"/>
        <v>0.36075756754870941</v>
      </c>
      <c r="AB20" s="318">
        <f t="shared" si="9"/>
        <v>0.36075756754870941</v>
      </c>
      <c r="AC20" s="318">
        <f t="shared" si="9"/>
        <v>0.36075756754870941</v>
      </c>
      <c r="AD20" s="318">
        <f t="shared" si="9"/>
        <v>0.36075756754870941</v>
      </c>
      <c r="AE20" s="318">
        <f t="shared" si="9"/>
        <v>0.36075756754870941</v>
      </c>
      <c r="AF20" s="318">
        <f t="shared" si="9"/>
        <v>0.36075756754870941</v>
      </c>
      <c r="AG20" s="318">
        <f t="shared" ref="AG20:AK20" si="10">$B$5/AG19</f>
        <v>0.36075756754870941</v>
      </c>
      <c r="AH20" s="318">
        <f t="shared" si="10"/>
        <v>0.36075756754870941</v>
      </c>
      <c r="AI20" s="318">
        <f t="shared" si="10"/>
        <v>0.36075756754870941</v>
      </c>
      <c r="AJ20" s="318">
        <f t="shared" si="10"/>
        <v>0.36075756754870941</v>
      </c>
      <c r="AK20" s="318">
        <f t="shared" si="10"/>
        <v>0.36075756754870941</v>
      </c>
      <c r="AN20" s="310"/>
    </row>
    <row r="21" spans="1:40" s="321" customFormat="1" ht="13.35" customHeight="1" x14ac:dyDescent="0.2">
      <c r="A21" s="319" t="s">
        <v>513</v>
      </c>
      <c r="B21" s="317">
        <f>SUM(C21:AK21)</f>
        <v>47742447.952277675</v>
      </c>
      <c r="C21" s="320">
        <f>C17*C20</f>
        <v>1376227.8071191669</v>
      </c>
      <c r="D21" s="320">
        <f>D17*D20</f>
        <v>1377604.034926286</v>
      </c>
      <c r="E21" s="320">
        <f>E17*E20</f>
        <v>1378981.638961212</v>
      </c>
      <c r="F21" s="320">
        <f t="shared" ref="F21:AF21" si="11">F17*F20</f>
        <v>1378981.638961212</v>
      </c>
      <c r="G21" s="320">
        <f t="shared" si="11"/>
        <v>1378981.638961212</v>
      </c>
      <c r="H21" s="320">
        <f t="shared" si="11"/>
        <v>1378981.638961212</v>
      </c>
      <c r="I21" s="320">
        <f t="shared" si="11"/>
        <v>1378981.638961212</v>
      </c>
      <c r="J21" s="320">
        <f t="shared" si="11"/>
        <v>1378981.638961212</v>
      </c>
      <c r="K21" s="320">
        <f t="shared" si="11"/>
        <v>1378981.638961212</v>
      </c>
      <c r="L21" s="320">
        <f t="shared" si="11"/>
        <v>1378981.638961212</v>
      </c>
      <c r="M21" s="320">
        <f t="shared" si="11"/>
        <v>1378981.638961212</v>
      </c>
      <c r="N21" s="320">
        <f t="shared" si="11"/>
        <v>1378981.638961212</v>
      </c>
      <c r="O21" s="320">
        <f t="shared" si="11"/>
        <v>1378981.638961212</v>
      </c>
      <c r="P21" s="320">
        <f t="shared" si="11"/>
        <v>1378981.638961212</v>
      </c>
      <c r="Q21" s="320">
        <f t="shared" si="11"/>
        <v>1378981.638961212</v>
      </c>
      <c r="R21" s="320">
        <f t="shared" si="11"/>
        <v>1378981.638961212</v>
      </c>
      <c r="S21" s="320">
        <f t="shared" si="11"/>
        <v>1376223.6756832898</v>
      </c>
      <c r="T21" s="320">
        <f t="shared" si="11"/>
        <v>1373471.228331923</v>
      </c>
      <c r="U21" s="320">
        <f t="shared" si="11"/>
        <v>1370724.2858752592</v>
      </c>
      <c r="V21" s="320">
        <f t="shared" si="11"/>
        <v>1367982.8373035088</v>
      </c>
      <c r="W21" s="320">
        <f t="shared" si="11"/>
        <v>1365246.8716289017</v>
      </c>
      <c r="X21" s="320">
        <f t="shared" si="11"/>
        <v>1362516.3778856439</v>
      </c>
      <c r="Y21" s="320">
        <f t="shared" si="11"/>
        <v>1359791.3451298724</v>
      </c>
      <c r="Z21" s="320">
        <f t="shared" si="11"/>
        <v>1357071.7624396128</v>
      </c>
      <c r="AA21" s="320">
        <f t="shared" si="11"/>
        <v>1354357.6189147334</v>
      </c>
      <c r="AB21" s="320">
        <f t="shared" si="11"/>
        <v>1351648.903676904</v>
      </c>
      <c r="AC21" s="320">
        <f t="shared" si="11"/>
        <v>1348945.60586955</v>
      </c>
      <c r="AD21" s="320">
        <f t="shared" si="11"/>
        <v>1346247.714657811</v>
      </c>
      <c r="AE21" s="320">
        <f t="shared" si="11"/>
        <v>1343555.2192284954</v>
      </c>
      <c r="AF21" s="320">
        <f t="shared" si="11"/>
        <v>1340868.1087900384</v>
      </c>
      <c r="AG21" s="320">
        <f t="shared" ref="AG21:AK21" si="12">AG17*AG20</f>
        <v>1338186.3725724583</v>
      </c>
      <c r="AH21" s="320">
        <f t="shared" si="12"/>
        <v>1335509.9998273135</v>
      </c>
      <c r="AI21" s="320">
        <f t="shared" si="12"/>
        <v>1332838.9798276587</v>
      </c>
      <c r="AJ21" s="320">
        <f t="shared" si="12"/>
        <v>1330173.3018680036</v>
      </c>
      <c r="AK21" s="320">
        <f t="shared" si="12"/>
        <v>1327512.9552642675</v>
      </c>
      <c r="AN21" s="310"/>
    </row>
    <row r="22" spans="1:40" s="298" customFormat="1" ht="13.35" customHeight="1" x14ac:dyDescent="0.2">
      <c r="AN22" s="310"/>
    </row>
    <row r="23" spans="1:40" s="298" customFormat="1" ht="24.75" customHeight="1" x14ac:dyDescent="0.2">
      <c r="A23" s="308" t="s">
        <v>514</v>
      </c>
      <c r="C23" s="312">
        <f t="shared" ref="C23:AF24" si="13">C16</f>
        <v>2025</v>
      </c>
      <c r="D23" s="312">
        <f t="shared" si="13"/>
        <v>2026</v>
      </c>
      <c r="E23" s="312">
        <f t="shared" si="13"/>
        <v>2027</v>
      </c>
      <c r="F23" s="312">
        <f t="shared" si="13"/>
        <v>2028</v>
      </c>
      <c r="G23" s="312">
        <f t="shared" si="13"/>
        <v>2029</v>
      </c>
      <c r="H23" s="312">
        <f t="shared" si="13"/>
        <v>2030</v>
      </c>
      <c r="I23" s="312">
        <f t="shared" si="13"/>
        <v>2031</v>
      </c>
      <c r="J23" s="312">
        <f t="shared" si="13"/>
        <v>2032</v>
      </c>
      <c r="K23" s="312">
        <f t="shared" si="13"/>
        <v>2033</v>
      </c>
      <c r="L23" s="312">
        <f t="shared" si="13"/>
        <v>2034</v>
      </c>
      <c r="M23" s="312">
        <f t="shared" si="13"/>
        <v>2035</v>
      </c>
      <c r="N23" s="312">
        <f t="shared" si="13"/>
        <v>2036</v>
      </c>
      <c r="O23" s="312">
        <f t="shared" si="13"/>
        <v>2037</v>
      </c>
      <c r="P23" s="312">
        <f t="shared" si="13"/>
        <v>2038</v>
      </c>
      <c r="Q23" s="312">
        <f t="shared" si="13"/>
        <v>2039</v>
      </c>
      <c r="R23" s="312">
        <f t="shared" si="13"/>
        <v>2040</v>
      </c>
      <c r="S23" s="312">
        <f t="shared" si="13"/>
        <v>2041</v>
      </c>
      <c r="T23" s="312">
        <f t="shared" si="13"/>
        <v>2042</v>
      </c>
      <c r="U23" s="312">
        <f t="shared" si="13"/>
        <v>2043</v>
      </c>
      <c r="V23" s="312">
        <f t="shared" si="13"/>
        <v>2044</v>
      </c>
      <c r="W23" s="312">
        <f t="shared" si="13"/>
        <v>2045</v>
      </c>
      <c r="X23" s="312">
        <f t="shared" si="13"/>
        <v>2046</v>
      </c>
      <c r="Y23" s="312">
        <f t="shared" si="13"/>
        <v>2047</v>
      </c>
      <c r="Z23" s="312">
        <f t="shared" si="13"/>
        <v>2048</v>
      </c>
      <c r="AA23" s="312">
        <f t="shared" si="13"/>
        <v>2049</v>
      </c>
      <c r="AB23" s="312">
        <f t="shared" si="13"/>
        <v>2050</v>
      </c>
      <c r="AC23" s="312">
        <f t="shared" si="13"/>
        <v>2051</v>
      </c>
      <c r="AD23" s="312">
        <f t="shared" si="13"/>
        <v>2052</v>
      </c>
      <c r="AE23" s="312">
        <f t="shared" si="13"/>
        <v>2053</v>
      </c>
      <c r="AF23" s="312">
        <f t="shared" si="13"/>
        <v>2054</v>
      </c>
      <c r="AG23" s="312">
        <f t="shared" ref="AG23:AK23" si="14">AG16</f>
        <v>2055</v>
      </c>
      <c r="AH23" s="312">
        <f t="shared" si="14"/>
        <v>2056</v>
      </c>
      <c r="AI23" s="312">
        <f t="shared" si="14"/>
        <v>2057</v>
      </c>
      <c r="AJ23" s="312">
        <f t="shared" si="14"/>
        <v>2058</v>
      </c>
      <c r="AK23" s="312">
        <f t="shared" si="14"/>
        <v>2059</v>
      </c>
      <c r="AN23" s="310"/>
    </row>
    <row r="24" spans="1:40" s="298" customFormat="1" ht="24.75" customHeight="1" x14ac:dyDescent="0.2">
      <c r="A24" s="322" t="s">
        <v>515</v>
      </c>
      <c r="B24" s="317">
        <f>SUM(C24:AK24)</f>
        <v>132339421.94665535</v>
      </c>
      <c r="C24" s="323">
        <f>C17</f>
        <v>3814827.2715952075</v>
      </c>
      <c r="D24" s="323">
        <f>D17</f>
        <v>3818642.0988668022</v>
      </c>
      <c r="E24" s="323">
        <f>E17</f>
        <v>3822460.7409656686</v>
      </c>
      <c r="F24" s="323">
        <f t="shared" si="13"/>
        <v>3822460.7409656686</v>
      </c>
      <c r="G24" s="323">
        <f t="shared" si="13"/>
        <v>3822460.7409656686</v>
      </c>
      <c r="H24" s="323">
        <f t="shared" si="13"/>
        <v>3822460.7409656686</v>
      </c>
      <c r="I24" s="323">
        <f t="shared" si="13"/>
        <v>3822460.7409656686</v>
      </c>
      <c r="J24" s="323">
        <f t="shared" si="13"/>
        <v>3822460.7409656686</v>
      </c>
      <c r="K24" s="323">
        <f t="shared" si="13"/>
        <v>3822460.7409656686</v>
      </c>
      <c r="L24" s="323">
        <f t="shared" si="13"/>
        <v>3822460.7409656686</v>
      </c>
      <c r="M24" s="323">
        <f t="shared" si="13"/>
        <v>3822460.7409656686</v>
      </c>
      <c r="N24" s="323">
        <f t="shared" si="13"/>
        <v>3822460.7409656686</v>
      </c>
      <c r="O24" s="323">
        <f t="shared" si="13"/>
        <v>3822460.7409656686</v>
      </c>
      <c r="P24" s="323">
        <f t="shared" si="13"/>
        <v>3822460.7409656686</v>
      </c>
      <c r="Q24" s="323">
        <f t="shared" si="13"/>
        <v>3822460.7409656686</v>
      </c>
      <c r="R24" s="323">
        <f t="shared" si="13"/>
        <v>3822460.7409656686</v>
      </c>
      <c r="S24" s="323">
        <f t="shared" si="13"/>
        <v>3814815.8194837375</v>
      </c>
      <c r="T24" s="323">
        <f t="shared" si="13"/>
        <v>3807186.18784477</v>
      </c>
      <c r="U24" s="323">
        <f t="shared" si="13"/>
        <v>3799571.8154690806</v>
      </c>
      <c r="V24" s="323">
        <f t="shared" si="13"/>
        <v>3791972.6718381424</v>
      </c>
      <c r="W24" s="323">
        <f t="shared" si="13"/>
        <v>3784388.726494466</v>
      </c>
      <c r="X24" s="323">
        <f t="shared" si="13"/>
        <v>3776819.9490414769</v>
      </c>
      <c r="Y24" s="323">
        <f>Y17</f>
        <v>3769266.3091433938</v>
      </c>
      <c r="Z24" s="323">
        <f t="shared" si="13"/>
        <v>3761727.7765251067</v>
      </c>
      <c r="AA24" s="323">
        <f t="shared" si="13"/>
        <v>3754204.3209720566</v>
      </c>
      <c r="AB24" s="323">
        <f t="shared" si="13"/>
        <v>3746695.9123301124</v>
      </c>
      <c r="AC24" s="323">
        <f t="shared" si="13"/>
        <v>3739202.5205054521</v>
      </c>
      <c r="AD24" s="323">
        <f t="shared" si="13"/>
        <v>3731724.115464441</v>
      </c>
      <c r="AE24" s="323">
        <f t="shared" si="13"/>
        <v>3724260.6672335123</v>
      </c>
      <c r="AF24" s="323">
        <f t="shared" si="13"/>
        <v>3716812.1458990453</v>
      </c>
      <c r="AG24" s="323">
        <f t="shared" ref="AG24:AK24" si="15">AG17</f>
        <v>3709378.5216072472</v>
      </c>
      <c r="AH24" s="323">
        <f t="shared" si="15"/>
        <v>3701959.7645640327</v>
      </c>
      <c r="AI24" s="323">
        <f t="shared" si="15"/>
        <v>3694555.8450349048</v>
      </c>
      <c r="AJ24" s="323">
        <f t="shared" si="15"/>
        <v>3687166.7333448348</v>
      </c>
      <c r="AK24" s="323">
        <f t="shared" si="15"/>
        <v>3679792.3998781452</v>
      </c>
      <c r="AN24" s="310"/>
    </row>
    <row r="25" spans="1:40" s="298" customFormat="1" ht="13.35" customHeight="1" x14ac:dyDescent="0.2">
      <c r="A25" s="304" t="s">
        <v>516</v>
      </c>
      <c r="B25" s="317">
        <f>SUM(C25:AK25)</f>
        <v>3877307425.5483255</v>
      </c>
      <c r="C25" s="292">
        <f>C24*$B$5</f>
        <v>111767588.89956889</v>
      </c>
      <c r="D25" s="292">
        <f>D24*$B$5</f>
        <v>111879356.48846844</v>
      </c>
      <c r="E25" s="292">
        <f t="shared" ref="E25:AF25" si="16">E24*$B$5</f>
        <v>111991235.8449569</v>
      </c>
      <c r="F25" s="292">
        <f t="shared" si="16"/>
        <v>111991235.8449569</v>
      </c>
      <c r="G25" s="292">
        <f t="shared" si="16"/>
        <v>111991235.8449569</v>
      </c>
      <c r="H25" s="292">
        <f t="shared" si="16"/>
        <v>111991235.8449569</v>
      </c>
      <c r="I25" s="292">
        <f t="shared" si="16"/>
        <v>111991235.8449569</v>
      </c>
      <c r="J25" s="292">
        <f t="shared" si="16"/>
        <v>111991235.8449569</v>
      </c>
      <c r="K25" s="292">
        <f t="shared" si="16"/>
        <v>111991235.8449569</v>
      </c>
      <c r="L25" s="292">
        <f t="shared" si="16"/>
        <v>111991235.8449569</v>
      </c>
      <c r="M25" s="292">
        <f t="shared" si="16"/>
        <v>111991235.8449569</v>
      </c>
      <c r="N25" s="292">
        <f t="shared" si="16"/>
        <v>111991235.8449569</v>
      </c>
      <c r="O25" s="292">
        <f t="shared" si="16"/>
        <v>111991235.8449569</v>
      </c>
      <c r="P25" s="292">
        <f t="shared" si="16"/>
        <v>111991235.8449569</v>
      </c>
      <c r="Q25" s="292">
        <f t="shared" si="16"/>
        <v>111991235.8449569</v>
      </c>
      <c r="R25" s="292">
        <f t="shared" si="16"/>
        <v>111991235.8449569</v>
      </c>
      <c r="S25" s="292">
        <f t="shared" si="16"/>
        <v>111767253.37326699</v>
      </c>
      <c r="T25" s="292">
        <f t="shared" si="16"/>
        <v>111543718.86652046</v>
      </c>
      <c r="U25" s="292">
        <f t="shared" si="16"/>
        <v>111320631.42878743</v>
      </c>
      <c r="V25" s="292">
        <f t="shared" si="16"/>
        <v>111097990.16592985</v>
      </c>
      <c r="W25" s="292">
        <f t="shared" si="16"/>
        <v>110875794.18559799</v>
      </c>
      <c r="X25" s="292">
        <f t="shared" si="16"/>
        <v>110654042.59722678</v>
      </c>
      <c r="Y25" s="292">
        <f t="shared" si="16"/>
        <v>110432734.51203233</v>
      </c>
      <c r="Z25" s="292">
        <f>Z24*$B$5</f>
        <v>110211869.04300825</v>
      </c>
      <c r="AA25" s="292">
        <f t="shared" si="16"/>
        <v>109991445.30492224</v>
      </c>
      <c r="AB25" s="292">
        <f t="shared" si="16"/>
        <v>109771462.41431239</v>
      </c>
      <c r="AC25" s="292">
        <f t="shared" si="16"/>
        <v>109551919.48948376</v>
      </c>
      <c r="AD25" s="292">
        <f t="shared" si="16"/>
        <v>109332815.65050478</v>
      </c>
      <c r="AE25" s="292">
        <f t="shared" si="16"/>
        <v>109114150.01920378</v>
      </c>
      <c r="AF25" s="292">
        <f t="shared" si="16"/>
        <v>108895921.71916538</v>
      </c>
      <c r="AG25" s="292">
        <f t="shared" ref="AG25:AK25" si="17">AG24*$B$5</f>
        <v>108678129.87572704</v>
      </c>
      <c r="AH25" s="292">
        <f t="shared" si="17"/>
        <v>108460773.61597559</v>
      </c>
      <c r="AI25" s="292">
        <f t="shared" si="17"/>
        <v>108243852.06874365</v>
      </c>
      <c r="AJ25" s="292">
        <f t="shared" si="17"/>
        <v>108027364.36460616</v>
      </c>
      <c r="AK25" s="292">
        <f t="shared" si="17"/>
        <v>107811309.63587694</v>
      </c>
      <c r="AN25" s="310"/>
    </row>
    <row r="26" spans="1:40" s="321" customFormat="1" ht="13.35" customHeight="1" x14ac:dyDescent="0.2">
      <c r="A26" s="324" t="s">
        <v>517</v>
      </c>
      <c r="B26" s="317">
        <f>SUM(C26:AK26)</f>
        <v>46106769.87292549</v>
      </c>
      <c r="C26" s="320">
        <f>C24*C29/(1+C31)</f>
        <v>1376227.8071191669</v>
      </c>
      <c r="D26" s="320">
        <f>D24*D29/(1+D31)</f>
        <v>1377604.034926286</v>
      </c>
      <c r="E26" s="320">
        <f>E24*E29/(1+E31)</f>
        <v>1378981.638961212</v>
      </c>
      <c r="F26" s="320">
        <f>F24*F29/(1+F31)</f>
        <v>1327259.8103784958</v>
      </c>
      <c r="G26" s="320">
        <f t="shared" ref="G26:AF26" si="18">G24*G29/(1+G31)</f>
        <v>1327259.8103784958</v>
      </c>
      <c r="H26" s="320">
        <f t="shared" si="18"/>
        <v>1327259.8103784958</v>
      </c>
      <c r="I26" s="320">
        <f t="shared" si="18"/>
        <v>1327259.8103784958</v>
      </c>
      <c r="J26" s="320">
        <f t="shared" si="18"/>
        <v>1327259.8103784958</v>
      </c>
      <c r="K26" s="320">
        <f t="shared" si="18"/>
        <v>1327259.8103784958</v>
      </c>
      <c r="L26" s="320">
        <f t="shared" si="18"/>
        <v>1327259.8103784958</v>
      </c>
      <c r="M26" s="320">
        <f t="shared" si="18"/>
        <v>1327259.8103784958</v>
      </c>
      <c r="N26" s="320">
        <f t="shared" si="18"/>
        <v>1327259.8103784958</v>
      </c>
      <c r="O26" s="320">
        <f t="shared" si="18"/>
        <v>1327259.8103784958</v>
      </c>
      <c r="P26" s="320">
        <f t="shared" si="18"/>
        <v>1327259.8103784958</v>
      </c>
      <c r="Q26" s="320">
        <f t="shared" si="18"/>
        <v>1327259.8103784958</v>
      </c>
      <c r="R26" s="320">
        <f t="shared" si="18"/>
        <v>1327259.8103784958</v>
      </c>
      <c r="S26" s="320">
        <f t="shared" si="18"/>
        <v>1324605.290757739</v>
      </c>
      <c r="T26" s="320">
        <f t="shared" si="18"/>
        <v>1321956.0801762235</v>
      </c>
      <c r="U26" s="320">
        <f t="shared" si="18"/>
        <v>1319312.1680158712</v>
      </c>
      <c r="V26" s="320">
        <f t="shared" si="18"/>
        <v>1316673.5436798392</v>
      </c>
      <c r="W26" s="320">
        <f t="shared" si="18"/>
        <v>1314040.1965924797</v>
      </c>
      <c r="X26" s="320">
        <f t="shared" si="18"/>
        <v>1311412.1161992948</v>
      </c>
      <c r="Y26" s="320">
        <f t="shared" si="18"/>
        <v>1308789.291966896</v>
      </c>
      <c r="Z26" s="320">
        <f t="shared" si="18"/>
        <v>1306171.7133829622</v>
      </c>
      <c r="AA26" s="320">
        <f t="shared" si="18"/>
        <v>1303559.3699561961</v>
      </c>
      <c r="AB26" s="320">
        <f t="shared" si="18"/>
        <v>1300952.2512162838</v>
      </c>
      <c r="AC26" s="320">
        <f t="shared" si="18"/>
        <v>1298350.3467138512</v>
      </c>
      <c r="AD26" s="320">
        <f t="shared" si="18"/>
        <v>1295753.6460204234</v>
      </c>
      <c r="AE26" s="320">
        <f t="shared" si="18"/>
        <v>1293162.1387283825</v>
      </c>
      <c r="AF26" s="320">
        <f t="shared" si="18"/>
        <v>1290575.8144509259</v>
      </c>
      <c r="AG26" s="320">
        <f t="shared" ref="AG26:AK26" si="19">AG24*AG29/(1+AG31)</f>
        <v>1287994.662822024</v>
      </c>
      <c r="AH26" s="320">
        <f t="shared" si="19"/>
        <v>1285418.67349638</v>
      </c>
      <c r="AI26" s="320">
        <f t="shared" si="19"/>
        <v>1282847.8361493873</v>
      </c>
      <c r="AJ26" s="320">
        <f t="shared" si="19"/>
        <v>1280282.1404770885</v>
      </c>
      <c r="AK26" s="320">
        <f t="shared" si="19"/>
        <v>1277721.5761961343</v>
      </c>
      <c r="AN26" s="310"/>
    </row>
    <row r="27" spans="1:40" s="298" customFormat="1" ht="13.35" customHeight="1" x14ac:dyDescent="0.2">
      <c r="A27" s="322"/>
      <c r="B27" s="317"/>
      <c r="C27" s="323"/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3"/>
      <c r="AK27" s="323"/>
      <c r="AN27" s="310"/>
    </row>
    <row r="28" spans="1:40" s="298" customFormat="1" ht="13.35" customHeight="1" x14ac:dyDescent="0.2">
      <c r="A28" s="304" t="s">
        <v>518</v>
      </c>
      <c r="B28" s="325"/>
      <c r="C28" s="318">
        <f>C19</f>
        <v>81.212999999999994</v>
      </c>
      <c r="D28" s="318">
        <f>D19</f>
        <v>81.212999999999994</v>
      </c>
      <c r="E28" s="318">
        <f>E19</f>
        <v>81.212999999999994</v>
      </c>
      <c r="F28" s="318">
        <f>$B$8</f>
        <v>81.73</v>
      </c>
      <c r="G28" s="318">
        <f t="shared" ref="G28:AK28" si="20">$B$8</f>
        <v>81.73</v>
      </c>
      <c r="H28" s="318">
        <f t="shared" si="20"/>
        <v>81.73</v>
      </c>
      <c r="I28" s="318">
        <f t="shared" si="20"/>
        <v>81.73</v>
      </c>
      <c r="J28" s="318">
        <f t="shared" si="20"/>
        <v>81.73</v>
      </c>
      <c r="K28" s="318">
        <f t="shared" si="20"/>
        <v>81.73</v>
      </c>
      <c r="L28" s="318">
        <f t="shared" si="20"/>
        <v>81.73</v>
      </c>
      <c r="M28" s="318">
        <f t="shared" si="20"/>
        <v>81.73</v>
      </c>
      <c r="N28" s="318">
        <f t="shared" si="20"/>
        <v>81.73</v>
      </c>
      <c r="O28" s="318">
        <f t="shared" si="20"/>
        <v>81.73</v>
      </c>
      <c r="P28" s="318">
        <f t="shared" si="20"/>
        <v>81.73</v>
      </c>
      <c r="Q28" s="318">
        <f t="shared" si="20"/>
        <v>81.73</v>
      </c>
      <c r="R28" s="318">
        <f t="shared" si="20"/>
        <v>81.73</v>
      </c>
      <c r="S28" s="318">
        <f t="shared" si="20"/>
        <v>81.73</v>
      </c>
      <c r="T28" s="318">
        <f t="shared" si="20"/>
        <v>81.73</v>
      </c>
      <c r="U28" s="318">
        <f t="shared" si="20"/>
        <v>81.73</v>
      </c>
      <c r="V28" s="318">
        <f t="shared" si="20"/>
        <v>81.73</v>
      </c>
      <c r="W28" s="318">
        <f t="shared" si="20"/>
        <v>81.73</v>
      </c>
      <c r="X28" s="318">
        <f t="shared" si="20"/>
        <v>81.73</v>
      </c>
      <c r="Y28" s="318">
        <f t="shared" si="20"/>
        <v>81.73</v>
      </c>
      <c r="Z28" s="318">
        <f t="shared" si="20"/>
        <v>81.73</v>
      </c>
      <c r="AA28" s="318">
        <f t="shared" si="20"/>
        <v>81.73</v>
      </c>
      <c r="AB28" s="318">
        <f t="shared" si="20"/>
        <v>81.73</v>
      </c>
      <c r="AC28" s="318">
        <f t="shared" si="20"/>
        <v>81.73</v>
      </c>
      <c r="AD28" s="318">
        <f t="shared" si="20"/>
        <v>81.73</v>
      </c>
      <c r="AE28" s="318">
        <f t="shared" si="20"/>
        <v>81.73</v>
      </c>
      <c r="AF28" s="318">
        <f t="shared" si="20"/>
        <v>81.73</v>
      </c>
      <c r="AG28" s="318">
        <f t="shared" si="20"/>
        <v>81.73</v>
      </c>
      <c r="AH28" s="318">
        <f t="shared" si="20"/>
        <v>81.73</v>
      </c>
      <c r="AI28" s="318">
        <f t="shared" si="20"/>
        <v>81.73</v>
      </c>
      <c r="AJ28" s="318">
        <f t="shared" si="20"/>
        <v>81.73</v>
      </c>
      <c r="AK28" s="318">
        <f t="shared" si="20"/>
        <v>81.73</v>
      </c>
      <c r="AN28" s="310"/>
    </row>
    <row r="29" spans="1:40" s="298" customFormat="1" ht="13.35" customHeight="1" x14ac:dyDescent="0.2">
      <c r="A29" s="304" t="s">
        <v>512</v>
      </c>
      <c r="B29" s="317"/>
      <c r="C29" s="318">
        <f>$B$5/C28</f>
        <v>0.36075756754870941</v>
      </c>
      <c r="D29" s="318">
        <f>$B$5/D28</f>
        <v>0.36075756754870941</v>
      </c>
      <c r="E29" s="318">
        <f t="shared" ref="E29:AF29" si="21">$B$5/E28</f>
        <v>0.36075756754870941</v>
      </c>
      <c r="F29" s="318">
        <f>$B$5/F28</f>
        <v>0.35847552102451158</v>
      </c>
      <c r="G29" s="318">
        <f t="shared" si="21"/>
        <v>0.35847552102451158</v>
      </c>
      <c r="H29" s="318">
        <f t="shared" si="21"/>
        <v>0.35847552102451158</v>
      </c>
      <c r="I29" s="318">
        <f t="shared" si="21"/>
        <v>0.35847552102451158</v>
      </c>
      <c r="J29" s="318">
        <f t="shared" si="21"/>
        <v>0.35847552102451158</v>
      </c>
      <c r="K29" s="318">
        <f t="shared" si="21"/>
        <v>0.35847552102451158</v>
      </c>
      <c r="L29" s="318">
        <f t="shared" si="21"/>
        <v>0.35847552102451158</v>
      </c>
      <c r="M29" s="318">
        <f t="shared" si="21"/>
        <v>0.35847552102451158</v>
      </c>
      <c r="N29" s="318">
        <f t="shared" si="21"/>
        <v>0.35847552102451158</v>
      </c>
      <c r="O29" s="318">
        <f t="shared" si="21"/>
        <v>0.35847552102451158</v>
      </c>
      <c r="P29" s="318">
        <f t="shared" si="21"/>
        <v>0.35847552102451158</v>
      </c>
      <c r="Q29" s="318">
        <f t="shared" si="21"/>
        <v>0.35847552102451158</v>
      </c>
      <c r="R29" s="318">
        <f t="shared" si="21"/>
        <v>0.35847552102451158</v>
      </c>
      <c r="S29" s="318">
        <f t="shared" si="21"/>
        <v>0.35847552102451158</v>
      </c>
      <c r="T29" s="318">
        <f t="shared" si="21"/>
        <v>0.35847552102451158</v>
      </c>
      <c r="U29" s="318">
        <f t="shared" si="21"/>
        <v>0.35847552102451158</v>
      </c>
      <c r="V29" s="318">
        <f t="shared" si="21"/>
        <v>0.35847552102451158</v>
      </c>
      <c r="W29" s="318">
        <f t="shared" si="21"/>
        <v>0.35847552102451158</v>
      </c>
      <c r="X29" s="318">
        <f t="shared" si="21"/>
        <v>0.35847552102451158</v>
      </c>
      <c r="Y29" s="318">
        <f t="shared" si="21"/>
        <v>0.35847552102451158</v>
      </c>
      <c r="Z29" s="318">
        <f t="shared" si="21"/>
        <v>0.35847552102451158</v>
      </c>
      <c r="AA29" s="318">
        <f t="shared" si="21"/>
        <v>0.35847552102451158</v>
      </c>
      <c r="AB29" s="318">
        <f t="shared" si="21"/>
        <v>0.35847552102451158</v>
      </c>
      <c r="AC29" s="318">
        <f t="shared" si="21"/>
        <v>0.35847552102451158</v>
      </c>
      <c r="AD29" s="318">
        <f t="shared" si="21"/>
        <v>0.35847552102451158</v>
      </c>
      <c r="AE29" s="318">
        <f t="shared" si="21"/>
        <v>0.35847552102451158</v>
      </c>
      <c r="AF29" s="318">
        <f t="shared" si="21"/>
        <v>0.35847552102451158</v>
      </c>
      <c r="AG29" s="318">
        <f t="shared" ref="AG29:AK29" si="22">$B$5/AG28</f>
        <v>0.35847552102451158</v>
      </c>
      <c r="AH29" s="318">
        <f t="shared" si="22"/>
        <v>0.35847552102451158</v>
      </c>
      <c r="AI29" s="318">
        <f t="shared" si="22"/>
        <v>0.35847552102451158</v>
      </c>
      <c r="AJ29" s="318">
        <f t="shared" si="22"/>
        <v>0.35847552102451158</v>
      </c>
      <c r="AK29" s="318">
        <f t="shared" si="22"/>
        <v>0.35847552102451158</v>
      </c>
      <c r="AN29" s="310"/>
    </row>
    <row r="30" spans="1:40" s="298" customFormat="1" ht="13.35" customHeight="1" x14ac:dyDescent="0.2">
      <c r="A30" s="304" t="s">
        <v>519</v>
      </c>
      <c r="B30" s="317"/>
      <c r="C30" s="326">
        <f>POWER(C29/C20,$B$10)-1</f>
        <v>0</v>
      </c>
      <c r="D30" s="326">
        <f>POWER(D29/D20,$B$10)-1</f>
        <v>0</v>
      </c>
      <c r="E30" s="326">
        <f t="shared" ref="E30:AF30" si="23">POWER(E29/E20,$B$10)-1</f>
        <v>0</v>
      </c>
      <c r="F30" s="326">
        <f>POWER(F29/F20,$B$10)-1</f>
        <v>4.7706926799355731E-3</v>
      </c>
      <c r="G30" s="326">
        <f>POWER(G29/G20,$B$10)-1</f>
        <v>4.7706926799355731E-3</v>
      </c>
      <c r="H30" s="326">
        <f t="shared" si="23"/>
        <v>4.7706926799355731E-3</v>
      </c>
      <c r="I30" s="326">
        <f t="shared" si="23"/>
        <v>4.7706926799355731E-3</v>
      </c>
      <c r="J30" s="326">
        <f t="shared" si="23"/>
        <v>4.7706926799355731E-3</v>
      </c>
      <c r="K30" s="326">
        <f t="shared" si="23"/>
        <v>4.7706926799355731E-3</v>
      </c>
      <c r="L30" s="326">
        <f t="shared" si="23"/>
        <v>4.7706926799355731E-3</v>
      </c>
      <c r="M30" s="326">
        <f t="shared" si="23"/>
        <v>4.7706926799355731E-3</v>
      </c>
      <c r="N30" s="326">
        <f t="shared" si="23"/>
        <v>4.7706926799355731E-3</v>
      </c>
      <c r="O30" s="326">
        <f t="shared" si="23"/>
        <v>4.7706926799355731E-3</v>
      </c>
      <c r="P30" s="326">
        <f t="shared" si="23"/>
        <v>4.7706926799355731E-3</v>
      </c>
      <c r="Q30" s="326">
        <f t="shared" si="23"/>
        <v>4.7706926799355731E-3</v>
      </c>
      <c r="R30" s="326">
        <f t="shared" si="23"/>
        <v>4.7706926799355731E-3</v>
      </c>
      <c r="S30" s="326">
        <f t="shared" si="23"/>
        <v>4.7706926799355731E-3</v>
      </c>
      <c r="T30" s="326">
        <f t="shared" si="23"/>
        <v>4.7706926799355731E-3</v>
      </c>
      <c r="U30" s="326">
        <f t="shared" si="23"/>
        <v>4.7706926799355731E-3</v>
      </c>
      <c r="V30" s="326">
        <f t="shared" si="23"/>
        <v>4.7706926799355731E-3</v>
      </c>
      <c r="W30" s="326">
        <f t="shared" si="23"/>
        <v>4.7706926799355731E-3</v>
      </c>
      <c r="X30" s="326">
        <f t="shared" si="23"/>
        <v>4.7706926799355731E-3</v>
      </c>
      <c r="Y30" s="326">
        <f t="shared" si="23"/>
        <v>4.7706926799355731E-3</v>
      </c>
      <c r="Z30" s="326">
        <f t="shared" si="23"/>
        <v>4.7706926799355731E-3</v>
      </c>
      <c r="AA30" s="326">
        <f t="shared" si="23"/>
        <v>4.7706926799355731E-3</v>
      </c>
      <c r="AB30" s="326">
        <f t="shared" si="23"/>
        <v>4.7706926799355731E-3</v>
      </c>
      <c r="AC30" s="326">
        <f t="shared" si="23"/>
        <v>4.7706926799355731E-3</v>
      </c>
      <c r="AD30" s="326">
        <f t="shared" si="23"/>
        <v>4.7706926799355731E-3</v>
      </c>
      <c r="AE30" s="326">
        <f t="shared" si="23"/>
        <v>4.7706926799355731E-3</v>
      </c>
      <c r="AF30" s="326">
        <f t="shared" si="23"/>
        <v>4.7706926799355731E-3</v>
      </c>
      <c r="AG30" s="326">
        <f t="shared" ref="AG30:AK30" si="24">POWER(AG29/AG20,$B$10)-1</f>
        <v>4.7706926799355731E-3</v>
      </c>
      <c r="AH30" s="326">
        <f t="shared" si="24"/>
        <v>4.7706926799355731E-3</v>
      </c>
      <c r="AI30" s="326">
        <f t="shared" si="24"/>
        <v>4.7706926799355731E-3</v>
      </c>
      <c r="AJ30" s="326">
        <f t="shared" si="24"/>
        <v>4.7706926799355731E-3</v>
      </c>
      <c r="AK30" s="326">
        <f t="shared" si="24"/>
        <v>4.7706926799355731E-3</v>
      </c>
      <c r="AM30" s="327"/>
      <c r="AN30" s="310"/>
    </row>
    <row r="31" spans="1:40" s="298" customFormat="1" ht="13.35" customHeight="1" x14ac:dyDescent="0.2">
      <c r="A31" s="304" t="s">
        <v>520</v>
      </c>
      <c r="B31" s="317"/>
      <c r="C31" s="326">
        <v>0</v>
      </c>
      <c r="D31" s="326">
        <v>0</v>
      </c>
      <c r="E31" s="326">
        <v>0</v>
      </c>
      <c r="F31" s="326">
        <f>POWER(1+$B$11,-$B$10)-1</f>
        <v>3.239666793093865E-2</v>
      </c>
      <c r="G31" s="326">
        <f t="shared" ref="G31:AK31" si="25">POWER(1+$B$11,-$B$10)-1</f>
        <v>3.239666793093865E-2</v>
      </c>
      <c r="H31" s="326">
        <f t="shared" si="25"/>
        <v>3.239666793093865E-2</v>
      </c>
      <c r="I31" s="326">
        <f>POWER(1+$B$11,-$B$10)-1</f>
        <v>3.239666793093865E-2</v>
      </c>
      <c r="J31" s="326">
        <f t="shared" si="25"/>
        <v>3.239666793093865E-2</v>
      </c>
      <c r="K31" s="326">
        <f t="shared" si="25"/>
        <v>3.239666793093865E-2</v>
      </c>
      <c r="L31" s="326">
        <f t="shared" si="25"/>
        <v>3.239666793093865E-2</v>
      </c>
      <c r="M31" s="326">
        <f t="shared" si="25"/>
        <v>3.239666793093865E-2</v>
      </c>
      <c r="N31" s="326">
        <f t="shared" si="25"/>
        <v>3.239666793093865E-2</v>
      </c>
      <c r="O31" s="326">
        <f t="shared" si="25"/>
        <v>3.239666793093865E-2</v>
      </c>
      <c r="P31" s="326">
        <f t="shared" si="25"/>
        <v>3.239666793093865E-2</v>
      </c>
      <c r="Q31" s="326">
        <f t="shared" si="25"/>
        <v>3.239666793093865E-2</v>
      </c>
      <c r="R31" s="326">
        <f t="shared" si="25"/>
        <v>3.239666793093865E-2</v>
      </c>
      <c r="S31" s="326">
        <f t="shared" si="25"/>
        <v>3.239666793093865E-2</v>
      </c>
      <c r="T31" s="326">
        <f t="shared" si="25"/>
        <v>3.239666793093865E-2</v>
      </c>
      <c r="U31" s="326">
        <f t="shared" si="25"/>
        <v>3.239666793093865E-2</v>
      </c>
      <c r="V31" s="326">
        <f t="shared" si="25"/>
        <v>3.239666793093865E-2</v>
      </c>
      <c r="W31" s="326">
        <f t="shared" si="25"/>
        <v>3.239666793093865E-2</v>
      </c>
      <c r="X31" s="326">
        <f t="shared" si="25"/>
        <v>3.239666793093865E-2</v>
      </c>
      <c r="Y31" s="326">
        <f t="shared" si="25"/>
        <v>3.239666793093865E-2</v>
      </c>
      <c r="Z31" s="326">
        <f t="shared" si="25"/>
        <v>3.239666793093865E-2</v>
      </c>
      <c r="AA31" s="326">
        <f t="shared" si="25"/>
        <v>3.239666793093865E-2</v>
      </c>
      <c r="AB31" s="326">
        <f t="shared" si="25"/>
        <v>3.239666793093865E-2</v>
      </c>
      <c r="AC31" s="326">
        <f t="shared" si="25"/>
        <v>3.239666793093865E-2</v>
      </c>
      <c r="AD31" s="326">
        <f t="shared" si="25"/>
        <v>3.239666793093865E-2</v>
      </c>
      <c r="AE31" s="326">
        <f t="shared" si="25"/>
        <v>3.239666793093865E-2</v>
      </c>
      <c r="AF31" s="326">
        <f t="shared" si="25"/>
        <v>3.239666793093865E-2</v>
      </c>
      <c r="AG31" s="326">
        <f t="shared" si="25"/>
        <v>3.239666793093865E-2</v>
      </c>
      <c r="AH31" s="326">
        <f t="shared" si="25"/>
        <v>3.239666793093865E-2</v>
      </c>
      <c r="AI31" s="326">
        <f t="shared" si="25"/>
        <v>3.239666793093865E-2</v>
      </c>
      <c r="AJ31" s="326">
        <f t="shared" si="25"/>
        <v>3.239666793093865E-2</v>
      </c>
      <c r="AK31" s="326">
        <f t="shared" si="25"/>
        <v>3.239666793093865E-2</v>
      </c>
      <c r="AM31" s="327"/>
      <c r="AN31" s="310"/>
    </row>
    <row r="32" spans="1:40" s="298" customFormat="1" ht="13.35" customHeight="1" x14ac:dyDescent="0.2">
      <c r="A32" s="328"/>
      <c r="B32" s="329"/>
      <c r="D32" s="330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30"/>
      <c r="V32" s="330"/>
      <c r="W32" s="330"/>
      <c r="X32" s="330"/>
      <c r="Y32" s="330"/>
      <c r="Z32" s="330"/>
      <c r="AA32" s="330"/>
      <c r="AB32" s="330"/>
      <c r="AC32" s="330"/>
      <c r="AD32" s="330"/>
      <c r="AE32" s="330"/>
      <c r="AF32" s="330"/>
      <c r="AG32" s="330"/>
      <c r="AH32" s="330"/>
      <c r="AI32" s="330"/>
      <c r="AJ32" s="330"/>
      <c r="AK32" s="330"/>
      <c r="AM32" s="327"/>
      <c r="AN32" s="310"/>
    </row>
    <row r="33" spans="1:40" s="316" customFormat="1" ht="48.75" customHeight="1" x14ac:dyDescent="0.3">
      <c r="A33" s="331" t="s">
        <v>521</v>
      </c>
      <c r="B33" s="314">
        <f>SUM(C33:AK33)</f>
        <v>4492920.3329415759</v>
      </c>
      <c r="C33" s="332">
        <f>(C24)*(C30+C31)</f>
        <v>0</v>
      </c>
      <c r="D33" s="332">
        <f>(D24)*(D30+D31)</f>
        <v>0</v>
      </c>
      <c r="E33" s="332">
        <f t="shared" ref="E33:AF33" si="26">(E24)*(E30+E31)</f>
        <v>0</v>
      </c>
      <c r="F33" s="332">
        <f>(F24)*(F30+F31)</f>
        <v>142070.77678038049</v>
      </c>
      <c r="G33" s="332">
        <f t="shared" si="26"/>
        <v>142070.77678038049</v>
      </c>
      <c r="H33" s="332">
        <f>(H24)*(H30+H31)</f>
        <v>142070.77678038049</v>
      </c>
      <c r="I33" s="332">
        <f t="shared" si="26"/>
        <v>142070.77678038049</v>
      </c>
      <c r="J33" s="332">
        <f t="shared" si="26"/>
        <v>142070.77678038049</v>
      </c>
      <c r="K33" s="332">
        <f t="shared" si="26"/>
        <v>142070.77678038049</v>
      </c>
      <c r="L33" s="332">
        <f t="shared" si="26"/>
        <v>142070.77678038049</v>
      </c>
      <c r="M33" s="332">
        <f t="shared" si="26"/>
        <v>142070.77678038049</v>
      </c>
      <c r="N33" s="332">
        <f t="shared" si="26"/>
        <v>142070.77678038049</v>
      </c>
      <c r="O33" s="332">
        <f t="shared" si="26"/>
        <v>142070.77678038049</v>
      </c>
      <c r="P33" s="332">
        <f t="shared" si="26"/>
        <v>142070.77678038049</v>
      </c>
      <c r="Q33" s="332">
        <f t="shared" si="26"/>
        <v>142070.77678038049</v>
      </c>
      <c r="R33" s="332">
        <f t="shared" si="26"/>
        <v>142070.77678038049</v>
      </c>
      <c r="S33" s="332">
        <f t="shared" si="26"/>
        <v>141786.63522681972</v>
      </c>
      <c r="T33" s="332">
        <f t="shared" si="26"/>
        <v>141503.06195636609</v>
      </c>
      <c r="U33" s="332">
        <f t="shared" si="26"/>
        <v>141220.05583245336</v>
      </c>
      <c r="V33" s="332">
        <f t="shared" si="26"/>
        <v>140937.61572078845</v>
      </c>
      <c r="W33" s="332">
        <f t="shared" si="26"/>
        <v>140655.74048934688</v>
      </c>
      <c r="X33" s="332">
        <f t="shared" si="26"/>
        <v>140374.42900836817</v>
      </c>
      <c r="Y33" s="332">
        <f t="shared" si="26"/>
        <v>140093.68015035143</v>
      </c>
      <c r="Z33" s="332">
        <f t="shared" si="26"/>
        <v>139813.49279005072</v>
      </c>
      <c r="AA33" s="332">
        <f t="shared" si="26"/>
        <v>139533.86580447061</v>
      </c>
      <c r="AB33" s="332">
        <f t="shared" si="26"/>
        <v>139254.79807286168</v>
      </c>
      <c r="AC33" s="332">
        <f t="shared" si="26"/>
        <v>138976.28847671594</v>
      </c>
      <c r="AD33" s="332">
        <f t="shared" si="26"/>
        <v>138698.33589976252</v>
      </c>
      <c r="AE33" s="332">
        <f t="shared" si="26"/>
        <v>138420.93922796298</v>
      </c>
      <c r="AF33" s="332">
        <f t="shared" si="26"/>
        <v>138144.09734950706</v>
      </c>
      <c r="AG33" s="332">
        <f t="shared" ref="AG33:AK33" si="27">(AG24)*(AG30+AG31)</f>
        <v>137867.80915480806</v>
      </c>
      <c r="AH33" s="332">
        <f t="shared" si="27"/>
        <v>137592.07353649844</v>
      </c>
      <c r="AI33" s="332">
        <f t="shared" si="27"/>
        <v>137316.88938942546</v>
      </c>
      <c r="AJ33" s="332">
        <f t="shared" si="27"/>
        <v>137042.25561064659</v>
      </c>
      <c r="AK33" s="332">
        <f t="shared" si="27"/>
        <v>136768.17109942529</v>
      </c>
      <c r="AM33" s="333"/>
      <c r="AN33" s="310"/>
    </row>
    <row r="34" spans="1:40" s="298" customFormat="1" ht="18.2" customHeight="1" x14ac:dyDescent="0.2">
      <c r="A34" s="304" t="s">
        <v>522</v>
      </c>
      <c r="B34" s="317">
        <f>SUM(C34:AK34)</f>
        <v>202765494.62565339</v>
      </c>
      <c r="C34" s="334">
        <f>C33*$B$6</f>
        <v>0</v>
      </c>
      <c r="D34" s="334">
        <f>D33*$B$6</f>
        <v>0</v>
      </c>
      <c r="E34" s="334">
        <f t="shared" ref="E34:AF34" si="28">E33*$B$6</f>
        <v>0</v>
      </c>
      <c r="F34" s="334">
        <f>F33*$B$6</f>
        <v>6411654.1560985716</v>
      </c>
      <c r="G34" s="334">
        <f t="shared" si="28"/>
        <v>6411654.1560985716</v>
      </c>
      <c r="H34" s="334">
        <f t="shared" si="28"/>
        <v>6411654.1560985716</v>
      </c>
      <c r="I34" s="334">
        <f t="shared" si="28"/>
        <v>6411654.1560985716</v>
      </c>
      <c r="J34" s="334">
        <f t="shared" si="28"/>
        <v>6411654.1560985716</v>
      </c>
      <c r="K34" s="334">
        <f t="shared" si="28"/>
        <v>6411654.1560985716</v>
      </c>
      <c r="L34" s="334">
        <f t="shared" si="28"/>
        <v>6411654.1560985716</v>
      </c>
      <c r="M34" s="334">
        <f t="shared" si="28"/>
        <v>6411654.1560985716</v>
      </c>
      <c r="N34" s="334">
        <f t="shared" si="28"/>
        <v>6411654.1560985716</v>
      </c>
      <c r="O34" s="334">
        <f t="shared" si="28"/>
        <v>6411654.1560985716</v>
      </c>
      <c r="P34" s="334">
        <f t="shared" si="28"/>
        <v>6411654.1560985716</v>
      </c>
      <c r="Q34" s="334">
        <f t="shared" si="28"/>
        <v>6411654.1560985716</v>
      </c>
      <c r="R34" s="334">
        <f t="shared" si="28"/>
        <v>6411654.1560985716</v>
      </c>
      <c r="S34" s="334">
        <f t="shared" si="28"/>
        <v>6398830.8477863744</v>
      </c>
      <c r="T34" s="334">
        <f t="shared" si="28"/>
        <v>6386033.1860908018</v>
      </c>
      <c r="U34" s="334">
        <f t="shared" si="28"/>
        <v>6373261.1197186206</v>
      </c>
      <c r="V34" s="334">
        <f t="shared" si="28"/>
        <v>6360514.5974791832</v>
      </c>
      <c r="W34" s="334">
        <f t="shared" si="28"/>
        <v>6347793.5682842247</v>
      </c>
      <c r="X34" s="334">
        <f t="shared" si="28"/>
        <v>6335097.9811476562</v>
      </c>
      <c r="Y34" s="334">
        <f t="shared" si="28"/>
        <v>6322427.7851853603</v>
      </c>
      <c r="Z34" s="334">
        <f t="shared" si="28"/>
        <v>6309782.9296149891</v>
      </c>
      <c r="AA34" s="334">
        <f t="shared" si="28"/>
        <v>6297163.3637557589</v>
      </c>
      <c r="AB34" s="334">
        <f t="shared" si="28"/>
        <v>6284569.0370282484</v>
      </c>
      <c r="AC34" s="334">
        <f t="shared" si="28"/>
        <v>6271999.8989541912</v>
      </c>
      <c r="AD34" s="334">
        <f t="shared" si="28"/>
        <v>6259455.8991562827</v>
      </c>
      <c r="AE34" s="334">
        <f t="shared" si="28"/>
        <v>6246936.9873579694</v>
      </c>
      <c r="AF34" s="334">
        <f t="shared" si="28"/>
        <v>6234443.113383254</v>
      </c>
      <c r="AG34" s="334">
        <f t="shared" ref="AG34:AK34" si="29">AG33*$B$6</f>
        <v>6221974.2271564882</v>
      </c>
      <c r="AH34" s="334">
        <f t="shared" si="29"/>
        <v>6209530.2787021752</v>
      </c>
      <c r="AI34" s="334">
        <f t="shared" si="29"/>
        <v>6197111.2181447716</v>
      </c>
      <c r="AJ34" s="334">
        <f t="shared" si="29"/>
        <v>6184716.9957084814</v>
      </c>
      <c r="AK34" s="334">
        <f t="shared" si="29"/>
        <v>6172347.5617170641</v>
      </c>
      <c r="AM34" s="327"/>
      <c r="AN34" s="310"/>
    </row>
    <row r="35" spans="1:40" s="321" customFormat="1" ht="19.7" customHeight="1" x14ac:dyDescent="0.2">
      <c r="A35" s="308" t="s">
        <v>523</v>
      </c>
      <c r="B35" s="335">
        <f>SUM(C35:AK35)</f>
        <v>1560061.1734835557</v>
      </c>
      <c r="C35" s="336">
        <f t="shared" ref="C35:AF35" si="30">C33*C29/(1+C31)</f>
        <v>0</v>
      </c>
      <c r="D35" s="336">
        <f t="shared" si="30"/>
        <v>0</v>
      </c>
      <c r="E35" s="336">
        <f t="shared" si="30"/>
        <v>0</v>
      </c>
      <c r="F35" s="336">
        <f>F33*F29/(1+F31)</f>
        <v>49330.743996658093</v>
      </c>
      <c r="G35" s="336">
        <f>G33*G29/(1+G31)</f>
        <v>49330.743996658093</v>
      </c>
      <c r="H35" s="336">
        <f t="shared" si="30"/>
        <v>49330.743996658093</v>
      </c>
      <c r="I35" s="336">
        <f>I33*I29/(1+I31)</f>
        <v>49330.743996658093</v>
      </c>
      <c r="J35" s="336">
        <f t="shared" si="30"/>
        <v>49330.743996658093</v>
      </c>
      <c r="K35" s="336">
        <f t="shared" si="30"/>
        <v>49330.743996658093</v>
      </c>
      <c r="L35" s="336">
        <f t="shared" si="30"/>
        <v>49330.743996658093</v>
      </c>
      <c r="M35" s="336">
        <f t="shared" si="30"/>
        <v>49330.743996658093</v>
      </c>
      <c r="N35" s="336">
        <f t="shared" si="30"/>
        <v>49330.743996658093</v>
      </c>
      <c r="O35" s="336">
        <f t="shared" si="30"/>
        <v>49330.743996658093</v>
      </c>
      <c r="P35" s="336">
        <f t="shared" si="30"/>
        <v>49330.743996658093</v>
      </c>
      <c r="Q35" s="336">
        <f t="shared" si="30"/>
        <v>49330.743996658093</v>
      </c>
      <c r="R35" s="336">
        <f t="shared" si="30"/>
        <v>49330.743996658093</v>
      </c>
      <c r="S35" s="336">
        <f t="shared" si="30"/>
        <v>49232.082508664782</v>
      </c>
      <c r="T35" s="336">
        <f t="shared" si="30"/>
        <v>49133.618343647453</v>
      </c>
      <c r="U35" s="336">
        <f t="shared" si="30"/>
        <v>49035.351106960159</v>
      </c>
      <c r="V35" s="336">
        <f t="shared" si="30"/>
        <v>48937.280404746234</v>
      </c>
      <c r="W35" s="336">
        <f t="shared" si="30"/>
        <v>48839.405843936744</v>
      </c>
      <c r="X35" s="336">
        <f t="shared" si="30"/>
        <v>48741.727032248869</v>
      </c>
      <c r="Y35" s="336">
        <f t="shared" si="30"/>
        <v>48644.243578184374</v>
      </c>
      <c r="Z35" s="336">
        <f t="shared" si="30"/>
        <v>48546.955091028001</v>
      </c>
      <c r="AA35" s="336">
        <f t="shared" si="30"/>
        <v>48449.861180845939</v>
      </c>
      <c r="AB35" s="336">
        <f t="shared" si="30"/>
        <v>48352.961458484249</v>
      </c>
      <c r="AC35" s="336">
        <f t="shared" si="30"/>
        <v>48256.255535567281</v>
      </c>
      <c r="AD35" s="336">
        <f t="shared" si="30"/>
        <v>48159.743024496151</v>
      </c>
      <c r="AE35" s="336">
        <f t="shared" si="30"/>
        <v>48063.423538447154</v>
      </c>
      <c r="AF35" s="336">
        <f t="shared" si="30"/>
        <v>47967.296691370255</v>
      </c>
      <c r="AG35" s="336">
        <f t="shared" ref="AG35:AK35" si="31">AG33*AG29/(1+AG31)</f>
        <v>47871.36209798752</v>
      </c>
      <c r="AH35" s="336">
        <f t="shared" si="31"/>
        <v>47775.619373791546</v>
      </c>
      <c r="AI35" s="336">
        <f t="shared" si="31"/>
        <v>47680.06813504397</v>
      </c>
      <c r="AJ35" s="336">
        <f t="shared" si="31"/>
        <v>47584.707998773876</v>
      </c>
      <c r="AK35" s="336">
        <f t="shared" si="31"/>
        <v>47489.538582776324</v>
      </c>
      <c r="AM35" s="337"/>
      <c r="AN35" s="310"/>
    </row>
    <row r="36" spans="1:40" s="298" customFormat="1" ht="13.35" customHeight="1" x14ac:dyDescent="0.2">
      <c r="B36" s="338"/>
      <c r="C36" s="338"/>
      <c r="D36" s="338"/>
      <c r="E36" s="338"/>
      <c r="F36" s="338"/>
      <c r="G36" s="338"/>
      <c r="H36" s="338"/>
      <c r="I36" s="338"/>
      <c r="J36" s="338"/>
      <c r="K36" s="338"/>
      <c r="L36" s="338"/>
      <c r="M36" s="338"/>
      <c r="N36" s="338"/>
      <c r="O36" s="338"/>
      <c r="P36" s="338"/>
      <c r="Q36" s="338"/>
      <c r="R36" s="338"/>
      <c r="S36" s="338"/>
      <c r="T36" s="338"/>
      <c r="U36" s="338"/>
      <c r="V36" s="338"/>
      <c r="W36" s="338"/>
      <c r="X36" s="338"/>
      <c r="Y36" s="338"/>
      <c r="Z36" s="338"/>
      <c r="AA36" s="338"/>
      <c r="AB36" s="338"/>
      <c r="AC36" s="338"/>
      <c r="AD36" s="338"/>
      <c r="AE36" s="338"/>
      <c r="AF36" s="338"/>
      <c r="AG36" s="338"/>
      <c r="AH36" s="338"/>
      <c r="AI36" s="338"/>
      <c r="AJ36" s="338"/>
      <c r="AK36" s="338"/>
      <c r="AM36" s="327"/>
      <c r="AN36" s="310"/>
    </row>
    <row r="37" spans="1:40" s="298" customFormat="1" ht="13.35" customHeight="1" x14ac:dyDescent="0.2">
      <c r="A37" s="321"/>
      <c r="B37" s="339"/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93"/>
      <c r="AH37" s="293"/>
      <c r="AI37" s="293"/>
      <c r="AJ37" s="293"/>
      <c r="AK37" s="293"/>
      <c r="AM37" s="327"/>
      <c r="AN37" s="310"/>
    </row>
    <row r="38" spans="1:40" s="298" customFormat="1" ht="18.75" customHeight="1" x14ac:dyDescent="0.2">
      <c r="A38" s="340" t="s">
        <v>524</v>
      </c>
      <c r="B38" s="341">
        <f>SUM(C38:AK38)</f>
        <v>4080072920.1739798</v>
      </c>
      <c r="C38" s="292">
        <f>C25+C34</f>
        <v>111767588.89956889</v>
      </c>
      <c r="D38" s="292">
        <f t="shared" ref="D38:AF39" si="32">D25+D34</f>
        <v>111879356.48846844</v>
      </c>
      <c r="E38" s="292">
        <f t="shared" si="32"/>
        <v>111991235.8449569</v>
      </c>
      <c r="F38" s="292">
        <f>F25+F34</f>
        <v>118402890.00105548</v>
      </c>
      <c r="G38" s="292">
        <f t="shared" si="32"/>
        <v>118402890.00105548</v>
      </c>
      <c r="H38" s="292">
        <f t="shared" si="32"/>
        <v>118402890.00105548</v>
      </c>
      <c r="I38" s="292">
        <f t="shared" si="32"/>
        <v>118402890.00105548</v>
      </c>
      <c r="J38" s="292">
        <f t="shared" si="32"/>
        <v>118402890.00105548</v>
      </c>
      <c r="K38" s="292">
        <f t="shared" si="32"/>
        <v>118402890.00105548</v>
      </c>
      <c r="L38" s="292">
        <f t="shared" si="32"/>
        <v>118402890.00105548</v>
      </c>
      <c r="M38" s="292">
        <f t="shared" si="32"/>
        <v>118402890.00105548</v>
      </c>
      <c r="N38" s="292">
        <f t="shared" si="32"/>
        <v>118402890.00105548</v>
      </c>
      <c r="O38" s="292">
        <f t="shared" si="32"/>
        <v>118402890.00105548</v>
      </c>
      <c r="P38" s="292">
        <f t="shared" si="32"/>
        <v>118402890.00105548</v>
      </c>
      <c r="Q38" s="292">
        <f t="shared" si="32"/>
        <v>118402890.00105548</v>
      </c>
      <c r="R38" s="292">
        <f t="shared" si="32"/>
        <v>118402890.00105548</v>
      </c>
      <c r="S38" s="292">
        <f t="shared" si="32"/>
        <v>118166084.22105336</v>
      </c>
      <c r="T38" s="292">
        <f t="shared" si="32"/>
        <v>117929752.05261126</v>
      </c>
      <c r="U38" s="292">
        <f t="shared" si="32"/>
        <v>117693892.54850605</v>
      </c>
      <c r="V38" s="292">
        <f t="shared" si="32"/>
        <v>117458504.76340903</v>
      </c>
      <c r="W38" s="292">
        <f t="shared" si="32"/>
        <v>117223587.75388221</v>
      </c>
      <c r="X38" s="292">
        <f t="shared" si="32"/>
        <v>116989140.57837445</v>
      </c>
      <c r="Y38" s="292">
        <f t="shared" si="32"/>
        <v>116755162.2972177</v>
      </c>
      <c r="Z38" s="292">
        <f t="shared" si="32"/>
        <v>116521651.97262324</v>
      </c>
      <c r="AA38" s="292">
        <f t="shared" si="32"/>
        <v>116288608.668678</v>
      </c>
      <c r="AB38" s="292">
        <f t="shared" si="32"/>
        <v>116056031.45134065</v>
      </c>
      <c r="AC38" s="292">
        <f t="shared" si="32"/>
        <v>115823919.38843796</v>
      </c>
      <c r="AD38" s="292">
        <f t="shared" si="32"/>
        <v>115592271.54966107</v>
      </c>
      <c r="AE38" s="292">
        <f t="shared" si="32"/>
        <v>115361087.00656176</v>
      </c>
      <c r="AF38" s="292">
        <f t="shared" si="32"/>
        <v>115130364.83254863</v>
      </c>
      <c r="AG38" s="292">
        <f t="shared" ref="AG38:AK38" si="33">AG25+AG34</f>
        <v>114900104.10288353</v>
      </c>
      <c r="AH38" s="292">
        <f t="shared" si="33"/>
        <v>114670303.89467776</v>
      </c>
      <c r="AI38" s="292">
        <f t="shared" si="33"/>
        <v>114440963.28688842</v>
      </c>
      <c r="AJ38" s="292">
        <f t="shared" si="33"/>
        <v>114212081.36031464</v>
      </c>
      <c r="AK38" s="292">
        <f t="shared" si="33"/>
        <v>113983657.197594</v>
      </c>
      <c r="AM38" s="327"/>
      <c r="AN38" s="310"/>
    </row>
    <row r="39" spans="1:40" s="298" customFormat="1" ht="15.75" customHeight="1" x14ac:dyDescent="0.2">
      <c r="A39" s="322" t="s">
        <v>525</v>
      </c>
      <c r="B39" s="341">
        <f>SUM(C39:AK39)</f>
        <v>47666831.046409033</v>
      </c>
      <c r="C39" s="342">
        <f>C26+C35</f>
        <v>1376227.8071191669</v>
      </c>
      <c r="D39" s="342">
        <f t="shared" si="32"/>
        <v>1377604.034926286</v>
      </c>
      <c r="E39" s="342">
        <f t="shared" si="32"/>
        <v>1378981.638961212</v>
      </c>
      <c r="F39" s="342">
        <f>F26+F35</f>
        <v>1376590.554375154</v>
      </c>
      <c r="G39" s="342">
        <f t="shared" si="32"/>
        <v>1376590.554375154</v>
      </c>
      <c r="H39" s="342">
        <f t="shared" si="32"/>
        <v>1376590.554375154</v>
      </c>
      <c r="I39" s="342">
        <f>I26+I35</f>
        <v>1376590.554375154</v>
      </c>
      <c r="J39" s="342">
        <f t="shared" si="32"/>
        <v>1376590.554375154</v>
      </c>
      <c r="K39" s="342">
        <f t="shared" si="32"/>
        <v>1376590.554375154</v>
      </c>
      <c r="L39" s="342">
        <f t="shared" si="32"/>
        <v>1376590.554375154</v>
      </c>
      <c r="M39" s="342">
        <f t="shared" si="32"/>
        <v>1376590.554375154</v>
      </c>
      <c r="N39" s="342">
        <f t="shared" si="32"/>
        <v>1376590.554375154</v>
      </c>
      <c r="O39" s="342">
        <f t="shared" si="32"/>
        <v>1376590.554375154</v>
      </c>
      <c r="P39" s="342">
        <f t="shared" si="32"/>
        <v>1376590.554375154</v>
      </c>
      <c r="Q39" s="342">
        <f t="shared" si="32"/>
        <v>1376590.554375154</v>
      </c>
      <c r="R39" s="342">
        <f t="shared" si="32"/>
        <v>1376590.554375154</v>
      </c>
      <c r="S39" s="342">
        <f t="shared" si="32"/>
        <v>1373837.3732664038</v>
      </c>
      <c r="T39" s="342">
        <f t="shared" si="32"/>
        <v>1371089.6985198711</v>
      </c>
      <c r="U39" s="342">
        <f t="shared" si="32"/>
        <v>1368347.5191228313</v>
      </c>
      <c r="V39" s="342">
        <f t="shared" si="32"/>
        <v>1365610.8240845855</v>
      </c>
      <c r="W39" s="342">
        <f t="shared" si="32"/>
        <v>1362879.6024364165</v>
      </c>
      <c r="X39" s="342">
        <f t="shared" si="32"/>
        <v>1360153.8432315437</v>
      </c>
      <c r="Y39" s="342">
        <f t="shared" si="32"/>
        <v>1357433.5355450804</v>
      </c>
      <c r="Z39" s="342">
        <f t="shared" si="32"/>
        <v>1354718.6684739902</v>
      </c>
      <c r="AA39" s="342">
        <f t="shared" si="32"/>
        <v>1352009.2311370419</v>
      </c>
      <c r="AB39" s="342">
        <f t="shared" si="32"/>
        <v>1349305.2126747679</v>
      </c>
      <c r="AC39" s="342">
        <f t="shared" si="32"/>
        <v>1346606.6022494184</v>
      </c>
      <c r="AD39" s="342">
        <f t="shared" si="32"/>
        <v>1343913.3890449195</v>
      </c>
      <c r="AE39" s="342">
        <f t="shared" si="32"/>
        <v>1341225.5622668297</v>
      </c>
      <c r="AF39" s="342">
        <f t="shared" si="32"/>
        <v>1338543.1111422961</v>
      </c>
      <c r="AG39" s="342">
        <f t="shared" ref="AG39:AK39" si="34">AG26+AG35</f>
        <v>1335866.0249200114</v>
      </c>
      <c r="AH39" s="342">
        <f t="shared" si="34"/>
        <v>1333194.2928701716</v>
      </c>
      <c r="AI39" s="342">
        <f t="shared" si="34"/>
        <v>1330527.9042844314</v>
      </c>
      <c r="AJ39" s="342">
        <f t="shared" si="34"/>
        <v>1327866.8484758623</v>
      </c>
      <c r="AK39" s="342">
        <f t="shared" si="34"/>
        <v>1325211.1147789108</v>
      </c>
      <c r="AM39" s="327"/>
      <c r="AN39" s="310"/>
    </row>
    <row r="40" spans="1:40" s="298" customFormat="1" ht="13.35" customHeight="1" x14ac:dyDescent="0.2">
      <c r="AM40" s="327"/>
      <c r="AN40" s="310"/>
    </row>
    <row r="41" spans="1:40" s="346" customFormat="1" ht="57.6" customHeight="1" x14ac:dyDescent="0.2">
      <c r="A41" s="343" t="s">
        <v>526</v>
      </c>
      <c r="B41" s="344">
        <f>SUM(C41:AK41)</f>
        <v>136832342.27959689</v>
      </c>
      <c r="C41" s="345">
        <f t="shared" ref="C41:AF41" si="35">C24+C33</f>
        <v>3814827.2715952075</v>
      </c>
      <c r="D41" s="345">
        <f>D24+D33</f>
        <v>3818642.0988668022</v>
      </c>
      <c r="E41" s="345">
        <f>E24+E33</f>
        <v>3822460.7409656686</v>
      </c>
      <c r="F41" s="345">
        <f>F24+F33</f>
        <v>3964531.517746049</v>
      </c>
      <c r="G41" s="345">
        <f t="shared" si="35"/>
        <v>3964531.517746049</v>
      </c>
      <c r="H41" s="345">
        <f>H24+H33</f>
        <v>3964531.517746049</v>
      </c>
      <c r="I41" s="345">
        <f t="shared" si="35"/>
        <v>3964531.517746049</v>
      </c>
      <c r="J41" s="345">
        <f t="shared" si="35"/>
        <v>3964531.517746049</v>
      </c>
      <c r="K41" s="345">
        <f t="shared" si="35"/>
        <v>3964531.517746049</v>
      </c>
      <c r="L41" s="345">
        <f t="shared" si="35"/>
        <v>3964531.517746049</v>
      </c>
      <c r="M41" s="345">
        <f t="shared" si="35"/>
        <v>3964531.517746049</v>
      </c>
      <c r="N41" s="345">
        <f t="shared" si="35"/>
        <v>3964531.517746049</v>
      </c>
      <c r="O41" s="345">
        <f t="shared" si="35"/>
        <v>3964531.517746049</v>
      </c>
      <c r="P41" s="345">
        <f t="shared" si="35"/>
        <v>3964531.517746049</v>
      </c>
      <c r="Q41" s="345">
        <f t="shared" si="35"/>
        <v>3964531.517746049</v>
      </c>
      <c r="R41" s="345">
        <f t="shared" si="35"/>
        <v>3964531.517746049</v>
      </c>
      <c r="S41" s="345">
        <f t="shared" si="35"/>
        <v>3956602.4547105571</v>
      </c>
      <c r="T41" s="345">
        <f t="shared" si="35"/>
        <v>3948689.2498011361</v>
      </c>
      <c r="U41" s="345">
        <f t="shared" si="35"/>
        <v>3940791.8713015341</v>
      </c>
      <c r="V41" s="345">
        <f t="shared" si="35"/>
        <v>3932910.2875589309</v>
      </c>
      <c r="W41" s="345">
        <f t="shared" si="35"/>
        <v>3925044.4669838129</v>
      </c>
      <c r="X41" s="345">
        <f t="shared" si="35"/>
        <v>3917194.3780498449</v>
      </c>
      <c r="Y41" s="345">
        <f t="shared" si="35"/>
        <v>3909359.9892937453</v>
      </c>
      <c r="Z41" s="345">
        <f t="shared" si="35"/>
        <v>3901541.2693151576</v>
      </c>
      <c r="AA41" s="345">
        <f t="shared" si="35"/>
        <v>3893738.1867765272</v>
      </c>
      <c r="AB41" s="345">
        <f t="shared" si="35"/>
        <v>3885950.7104029739</v>
      </c>
      <c r="AC41" s="345">
        <f t="shared" si="35"/>
        <v>3878178.8089821679</v>
      </c>
      <c r="AD41" s="345">
        <f t="shared" si="35"/>
        <v>3870422.4513642034</v>
      </c>
      <c r="AE41" s="345">
        <f t="shared" si="35"/>
        <v>3862681.6064614751</v>
      </c>
      <c r="AF41" s="345">
        <f t="shared" si="35"/>
        <v>3854956.2432485525</v>
      </c>
      <c r="AG41" s="345">
        <f t="shared" ref="AG41:AK41" si="36">AG24+AG33</f>
        <v>3847246.3307620552</v>
      </c>
      <c r="AH41" s="345">
        <f t="shared" si="36"/>
        <v>3839551.8381005311</v>
      </c>
      <c r="AI41" s="345">
        <f t="shared" si="36"/>
        <v>3831872.7344243303</v>
      </c>
      <c r="AJ41" s="345">
        <f t="shared" si="36"/>
        <v>3824208.9889554814</v>
      </c>
      <c r="AK41" s="345">
        <f t="shared" si="36"/>
        <v>3816560.5709775705</v>
      </c>
      <c r="AM41" s="347"/>
      <c r="AN41" s="310"/>
    </row>
    <row r="42" spans="1:40" s="298" customFormat="1" ht="13.35" customHeight="1" x14ac:dyDescent="0.2">
      <c r="B42" s="293"/>
      <c r="C42" s="293"/>
      <c r="D42" s="293"/>
      <c r="E42" s="293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  <c r="Z42" s="293"/>
      <c r="AA42" s="293"/>
      <c r="AB42" s="293"/>
      <c r="AC42" s="293"/>
      <c r="AD42" s="293"/>
      <c r="AE42" s="293"/>
      <c r="AF42" s="293"/>
      <c r="AG42" s="293"/>
      <c r="AH42" s="293"/>
      <c r="AI42" s="293"/>
      <c r="AJ42" s="293"/>
      <c r="AK42" s="293"/>
      <c r="AM42" s="327"/>
      <c r="AN42" s="310"/>
    </row>
    <row r="43" spans="1:40" s="298" customFormat="1" ht="21.95" customHeight="1" x14ac:dyDescent="0.25">
      <c r="A43" s="348" t="s">
        <v>527</v>
      </c>
      <c r="B43" s="348"/>
      <c r="C43" s="348">
        <f t="shared" ref="C43:AF43" si="37">C23</f>
        <v>2025</v>
      </c>
      <c r="D43" s="348">
        <f t="shared" si="37"/>
        <v>2026</v>
      </c>
      <c r="E43" s="348">
        <f t="shared" si="37"/>
        <v>2027</v>
      </c>
      <c r="F43" s="348">
        <f t="shared" si="37"/>
        <v>2028</v>
      </c>
      <c r="G43" s="348">
        <f t="shared" si="37"/>
        <v>2029</v>
      </c>
      <c r="H43" s="348">
        <f t="shared" si="37"/>
        <v>2030</v>
      </c>
      <c r="I43" s="348">
        <f t="shared" si="37"/>
        <v>2031</v>
      </c>
      <c r="J43" s="348">
        <f t="shared" si="37"/>
        <v>2032</v>
      </c>
      <c r="K43" s="348">
        <f t="shared" si="37"/>
        <v>2033</v>
      </c>
      <c r="L43" s="348">
        <f t="shared" si="37"/>
        <v>2034</v>
      </c>
      <c r="M43" s="348">
        <f t="shared" si="37"/>
        <v>2035</v>
      </c>
      <c r="N43" s="348">
        <f t="shared" si="37"/>
        <v>2036</v>
      </c>
      <c r="O43" s="348">
        <f t="shared" si="37"/>
        <v>2037</v>
      </c>
      <c r="P43" s="348">
        <f t="shared" si="37"/>
        <v>2038</v>
      </c>
      <c r="Q43" s="348">
        <f t="shared" si="37"/>
        <v>2039</v>
      </c>
      <c r="R43" s="348">
        <f t="shared" si="37"/>
        <v>2040</v>
      </c>
      <c r="S43" s="348">
        <f t="shared" si="37"/>
        <v>2041</v>
      </c>
      <c r="T43" s="348">
        <f t="shared" si="37"/>
        <v>2042</v>
      </c>
      <c r="U43" s="348">
        <f t="shared" si="37"/>
        <v>2043</v>
      </c>
      <c r="V43" s="348">
        <f t="shared" si="37"/>
        <v>2044</v>
      </c>
      <c r="W43" s="348">
        <f t="shared" si="37"/>
        <v>2045</v>
      </c>
      <c r="X43" s="348">
        <f t="shared" si="37"/>
        <v>2046</v>
      </c>
      <c r="Y43" s="348">
        <f t="shared" si="37"/>
        <v>2047</v>
      </c>
      <c r="Z43" s="348">
        <f t="shared" si="37"/>
        <v>2048</v>
      </c>
      <c r="AA43" s="348">
        <f t="shared" si="37"/>
        <v>2049</v>
      </c>
      <c r="AB43" s="348">
        <f t="shared" si="37"/>
        <v>2050</v>
      </c>
      <c r="AC43" s="348">
        <f t="shared" si="37"/>
        <v>2051</v>
      </c>
      <c r="AD43" s="348">
        <f t="shared" si="37"/>
        <v>2052</v>
      </c>
      <c r="AE43" s="348">
        <f t="shared" si="37"/>
        <v>2053</v>
      </c>
      <c r="AF43" s="348">
        <f t="shared" si="37"/>
        <v>2054</v>
      </c>
      <c r="AG43" s="348">
        <f t="shared" ref="AG43:AK43" si="38">AG23</f>
        <v>2055</v>
      </c>
      <c r="AH43" s="348">
        <f t="shared" si="38"/>
        <v>2056</v>
      </c>
      <c r="AI43" s="348">
        <f t="shared" si="38"/>
        <v>2057</v>
      </c>
      <c r="AJ43" s="348">
        <f t="shared" si="38"/>
        <v>2058</v>
      </c>
      <c r="AK43" s="348">
        <f t="shared" si="38"/>
        <v>2059</v>
      </c>
      <c r="AM43" s="327"/>
      <c r="AN43" s="310"/>
    </row>
    <row r="44" spans="1:40" s="298" customFormat="1" ht="13.35" customHeight="1" x14ac:dyDescent="0.2">
      <c r="A44" s="304" t="s">
        <v>528</v>
      </c>
      <c r="B44" s="325">
        <f>SUM(C44:AK44)</f>
        <v>1635678.079352173</v>
      </c>
      <c r="C44" s="292">
        <f t="shared" ref="C44:AF44" si="39">C21-C26</f>
        <v>0</v>
      </c>
      <c r="D44" s="292">
        <f>D21-D26</f>
        <v>0</v>
      </c>
      <c r="E44" s="292">
        <f>E21-E26</f>
        <v>0</v>
      </c>
      <c r="F44" s="292">
        <f>F21-F26</f>
        <v>51721.828582716174</v>
      </c>
      <c r="G44" s="292">
        <f t="shared" si="39"/>
        <v>51721.828582716174</v>
      </c>
      <c r="H44" s="292">
        <f t="shared" si="39"/>
        <v>51721.828582716174</v>
      </c>
      <c r="I44" s="292">
        <f t="shared" si="39"/>
        <v>51721.828582716174</v>
      </c>
      <c r="J44" s="292">
        <f t="shared" si="39"/>
        <v>51721.828582716174</v>
      </c>
      <c r="K44" s="292">
        <f t="shared" si="39"/>
        <v>51721.828582716174</v>
      </c>
      <c r="L44" s="292">
        <f t="shared" si="39"/>
        <v>51721.828582716174</v>
      </c>
      <c r="M44" s="292">
        <f t="shared" si="39"/>
        <v>51721.828582716174</v>
      </c>
      <c r="N44" s="292">
        <f t="shared" si="39"/>
        <v>51721.828582716174</v>
      </c>
      <c r="O44" s="292">
        <f t="shared" si="39"/>
        <v>51721.828582716174</v>
      </c>
      <c r="P44" s="292">
        <f t="shared" si="39"/>
        <v>51721.828582716174</v>
      </c>
      <c r="Q44" s="292">
        <f t="shared" si="39"/>
        <v>51721.828582716174</v>
      </c>
      <c r="R44" s="292">
        <f t="shared" si="39"/>
        <v>51721.828582716174</v>
      </c>
      <c r="S44" s="292">
        <f t="shared" si="39"/>
        <v>51618.384925550781</v>
      </c>
      <c r="T44" s="292">
        <f t="shared" si="39"/>
        <v>51515.148155699484</v>
      </c>
      <c r="U44" s="292">
        <f t="shared" si="39"/>
        <v>51412.117859388003</v>
      </c>
      <c r="V44" s="292">
        <f t="shared" si="39"/>
        <v>51309.293623669539</v>
      </c>
      <c r="W44" s="292">
        <f t="shared" si="39"/>
        <v>51206.675036421977</v>
      </c>
      <c r="X44" s="292">
        <f t="shared" si="39"/>
        <v>51104.261686349055</v>
      </c>
      <c r="Y44" s="292">
        <f t="shared" si="39"/>
        <v>51002.053162976401</v>
      </c>
      <c r="Z44" s="292">
        <f t="shared" si="39"/>
        <v>50900.049056650605</v>
      </c>
      <c r="AA44" s="292">
        <f t="shared" si="39"/>
        <v>50798.248958537355</v>
      </c>
      <c r="AB44" s="292">
        <f t="shared" si="39"/>
        <v>50696.652460620273</v>
      </c>
      <c r="AC44" s="292">
        <f t="shared" si="39"/>
        <v>50595.259155698819</v>
      </c>
      <c r="AD44" s="292">
        <f t="shared" si="39"/>
        <v>50494.068637387594</v>
      </c>
      <c r="AE44" s="292">
        <f t="shared" si="39"/>
        <v>50393.080500112846</v>
      </c>
      <c r="AF44" s="292">
        <f t="shared" si="39"/>
        <v>50292.294339112472</v>
      </c>
      <c r="AG44" s="292">
        <f t="shared" ref="AG44:AK44" si="40">AG21-AG26</f>
        <v>50191.709750434384</v>
      </c>
      <c r="AH44" s="292">
        <f t="shared" si="40"/>
        <v>50091.326330933487</v>
      </c>
      <c r="AI44" s="292">
        <f t="shared" si="40"/>
        <v>49991.143678271445</v>
      </c>
      <c r="AJ44" s="292">
        <f t="shared" si="40"/>
        <v>49891.161390915047</v>
      </c>
      <c r="AK44" s="292">
        <f t="shared" si="40"/>
        <v>49791.379068133188</v>
      </c>
      <c r="AM44" s="349"/>
      <c r="AN44" s="310"/>
    </row>
    <row r="45" spans="1:40" s="298" customFormat="1" ht="13.35" customHeight="1" x14ac:dyDescent="0.2">
      <c r="A45" s="350" t="s">
        <v>529</v>
      </c>
      <c r="B45" s="317">
        <f>SUM(C45:AK45)</f>
        <v>30396.918509292176</v>
      </c>
      <c r="C45" s="292">
        <f>(C30+C31)*C44/2</f>
        <v>0</v>
      </c>
      <c r="D45" s="292">
        <f>(D30+D31)*D44/2</f>
        <v>0</v>
      </c>
      <c r="E45" s="292">
        <f>(E30+E31)*E44/2</f>
        <v>0</v>
      </c>
      <c r="F45" s="292">
        <f>(F30+F31)*F44/2</f>
        <v>961.18192719381682</v>
      </c>
      <c r="G45" s="292">
        <f t="shared" ref="G45:AF45" si="41">(G30+G31)*G44/2</f>
        <v>961.18192719381682</v>
      </c>
      <c r="H45" s="292">
        <f t="shared" si="41"/>
        <v>961.18192719381682</v>
      </c>
      <c r="I45" s="292">
        <f t="shared" si="41"/>
        <v>961.18192719381682</v>
      </c>
      <c r="J45" s="292">
        <f t="shared" si="41"/>
        <v>961.18192719381682</v>
      </c>
      <c r="K45" s="292">
        <f t="shared" si="41"/>
        <v>961.18192719381682</v>
      </c>
      <c r="L45" s="292">
        <f t="shared" si="41"/>
        <v>961.18192719381682</v>
      </c>
      <c r="M45" s="292">
        <f t="shared" si="41"/>
        <v>961.18192719381682</v>
      </c>
      <c r="N45" s="292">
        <f t="shared" si="41"/>
        <v>961.18192719381682</v>
      </c>
      <c r="O45" s="292">
        <f t="shared" si="41"/>
        <v>961.18192719381682</v>
      </c>
      <c r="P45" s="292">
        <f t="shared" si="41"/>
        <v>961.18192719381682</v>
      </c>
      <c r="Q45" s="292">
        <f t="shared" si="41"/>
        <v>961.18192719381682</v>
      </c>
      <c r="R45" s="292">
        <f t="shared" si="41"/>
        <v>961.18192719381682</v>
      </c>
      <c r="S45" s="292">
        <f t="shared" si="41"/>
        <v>959.25956333942997</v>
      </c>
      <c r="T45" s="292">
        <f t="shared" si="41"/>
        <v>957.34104421274742</v>
      </c>
      <c r="U45" s="292">
        <f t="shared" si="41"/>
        <v>955.42636212432046</v>
      </c>
      <c r="V45" s="292">
        <f t="shared" si="41"/>
        <v>953.51550940007758</v>
      </c>
      <c r="W45" s="292">
        <f t="shared" si="41"/>
        <v>951.60847838127324</v>
      </c>
      <c r="X45" s="292">
        <f t="shared" si="41"/>
        <v>949.70526142450922</v>
      </c>
      <c r="Y45" s="292">
        <f t="shared" si="41"/>
        <v>947.80585090166107</v>
      </c>
      <c r="Z45" s="292">
        <f t="shared" si="41"/>
        <v>945.91023919986071</v>
      </c>
      <c r="AA45" s="292">
        <f t="shared" si="41"/>
        <v>944.0184187214619</v>
      </c>
      <c r="AB45" s="292">
        <f t="shared" si="41"/>
        <v>942.13038188401879</v>
      </c>
      <c r="AC45" s="292">
        <f t="shared" si="41"/>
        <v>940.24612112024681</v>
      </c>
      <c r="AD45" s="292">
        <f t="shared" si="41"/>
        <v>938.3656288780096</v>
      </c>
      <c r="AE45" s="292">
        <f t="shared" si="41"/>
        <v>936.48889762025408</v>
      </c>
      <c r="AF45" s="292">
        <f t="shared" si="41"/>
        <v>934.61591982501079</v>
      </c>
      <c r="AG45" s="292">
        <f t="shared" ref="AG45:AK45" si="42">(AG30+AG31)*AG44/2</f>
        <v>932.74668798536334</v>
      </c>
      <c r="AH45" s="292">
        <f t="shared" si="42"/>
        <v>930.88119460939208</v>
      </c>
      <c r="AI45" s="292">
        <f t="shared" si="42"/>
        <v>929.01943222016996</v>
      </c>
      <c r="AJ45" s="292">
        <f t="shared" si="42"/>
        <v>927.16139335573234</v>
      </c>
      <c r="AK45" s="292">
        <f t="shared" si="42"/>
        <v>925.30707056902031</v>
      </c>
      <c r="AM45" s="327"/>
      <c r="AN45" s="310"/>
    </row>
    <row r="46" spans="1:40" s="298" customFormat="1" ht="13.35" customHeight="1" x14ac:dyDescent="0.2">
      <c r="A46" s="324" t="s">
        <v>530</v>
      </c>
      <c r="B46" s="317">
        <f>SUM(C46:AK46)</f>
        <v>1666074.997861465</v>
      </c>
      <c r="C46" s="320">
        <f t="shared" ref="C46:AF46" si="43">SUM(C44:C45)</f>
        <v>0</v>
      </c>
      <c r="D46" s="320">
        <f t="shared" si="43"/>
        <v>0</v>
      </c>
      <c r="E46" s="320">
        <f t="shared" si="43"/>
        <v>0</v>
      </c>
      <c r="F46" s="320">
        <f>SUM(F44:F45)</f>
        <v>52683.010509909989</v>
      </c>
      <c r="G46" s="320">
        <f t="shared" si="43"/>
        <v>52683.010509909989</v>
      </c>
      <c r="H46" s="320">
        <f t="shared" si="43"/>
        <v>52683.010509909989</v>
      </c>
      <c r="I46" s="320">
        <f t="shared" si="43"/>
        <v>52683.010509909989</v>
      </c>
      <c r="J46" s="320">
        <f t="shared" si="43"/>
        <v>52683.010509909989</v>
      </c>
      <c r="K46" s="320">
        <f t="shared" si="43"/>
        <v>52683.010509909989</v>
      </c>
      <c r="L46" s="320">
        <f t="shared" si="43"/>
        <v>52683.010509909989</v>
      </c>
      <c r="M46" s="320">
        <f t="shared" si="43"/>
        <v>52683.010509909989</v>
      </c>
      <c r="N46" s="320">
        <f t="shared" si="43"/>
        <v>52683.010509909989</v>
      </c>
      <c r="O46" s="320">
        <f t="shared" si="43"/>
        <v>52683.010509909989</v>
      </c>
      <c r="P46" s="320">
        <f t="shared" si="43"/>
        <v>52683.010509909989</v>
      </c>
      <c r="Q46" s="320">
        <f t="shared" si="43"/>
        <v>52683.010509909989</v>
      </c>
      <c r="R46" s="320">
        <f t="shared" si="43"/>
        <v>52683.010509909989</v>
      </c>
      <c r="S46" s="320">
        <f t="shared" si="43"/>
        <v>52577.644488890212</v>
      </c>
      <c r="T46" s="320">
        <f t="shared" si="43"/>
        <v>52472.489199912234</v>
      </c>
      <c r="U46" s="320">
        <f t="shared" si="43"/>
        <v>52367.544221512326</v>
      </c>
      <c r="V46" s="320">
        <f t="shared" si="43"/>
        <v>52262.809133069619</v>
      </c>
      <c r="W46" s="320">
        <f t="shared" si="43"/>
        <v>52158.283514803254</v>
      </c>
      <c r="X46" s="320">
        <f t="shared" si="43"/>
        <v>52053.966947773566</v>
      </c>
      <c r="Y46" s="320">
        <f t="shared" si="43"/>
        <v>51949.859013878064</v>
      </c>
      <c r="Z46" s="320">
        <f t="shared" si="43"/>
        <v>51845.959295850465</v>
      </c>
      <c r="AA46" s="320">
        <f t="shared" si="43"/>
        <v>51742.267377258817</v>
      </c>
      <c r="AB46" s="320">
        <f t="shared" si="43"/>
        <v>51638.78284250429</v>
      </c>
      <c r="AC46" s="320">
        <f t="shared" si="43"/>
        <v>51535.505276819065</v>
      </c>
      <c r="AD46" s="320">
        <f t="shared" si="43"/>
        <v>51432.434266265605</v>
      </c>
      <c r="AE46" s="320">
        <f t="shared" si="43"/>
        <v>51329.569397733103</v>
      </c>
      <c r="AF46" s="320">
        <f t="shared" si="43"/>
        <v>51226.910258937482</v>
      </c>
      <c r="AG46" s="320">
        <f t="shared" ref="AG46:AK46" si="44">SUM(AG44:AG45)</f>
        <v>51124.456438419744</v>
      </c>
      <c r="AH46" s="320">
        <f t="shared" si="44"/>
        <v>51022.207525542879</v>
      </c>
      <c r="AI46" s="320">
        <f t="shared" si="44"/>
        <v>50920.163110491616</v>
      </c>
      <c r="AJ46" s="320">
        <f t="shared" si="44"/>
        <v>50818.322784270778</v>
      </c>
      <c r="AK46" s="320">
        <f t="shared" si="44"/>
        <v>50716.686138702207</v>
      </c>
      <c r="AM46" s="327"/>
      <c r="AN46" s="310"/>
    </row>
    <row r="47" spans="1:40" s="298" customFormat="1" ht="13.35" customHeight="1" x14ac:dyDescent="0.2">
      <c r="A47" s="304" t="s">
        <v>531</v>
      </c>
      <c r="B47" s="325"/>
      <c r="C47" s="303">
        <v>0</v>
      </c>
      <c r="D47" s="303">
        <v>0</v>
      </c>
      <c r="E47" s="303">
        <v>0</v>
      </c>
      <c r="F47" s="303">
        <v>1</v>
      </c>
      <c r="G47" s="303">
        <v>1</v>
      </c>
      <c r="H47" s="303">
        <v>1</v>
      </c>
      <c r="I47" s="303">
        <v>1</v>
      </c>
      <c r="J47" s="303">
        <v>1</v>
      </c>
      <c r="K47" s="303">
        <v>1</v>
      </c>
      <c r="L47" s="303">
        <v>1</v>
      </c>
      <c r="M47" s="303">
        <v>1</v>
      </c>
      <c r="N47" s="303">
        <v>1</v>
      </c>
      <c r="O47" s="303">
        <v>1</v>
      </c>
      <c r="P47" s="303">
        <v>1</v>
      </c>
      <c r="Q47" s="303">
        <v>1</v>
      </c>
      <c r="R47" s="303">
        <v>1</v>
      </c>
      <c r="S47" s="303">
        <v>1</v>
      </c>
      <c r="T47" s="303">
        <v>1</v>
      </c>
      <c r="U47" s="303">
        <v>1</v>
      </c>
      <c r="V47" s="303">
        <v>1</v>
      </c>
      <c r="W47" s="303">
        <v>1</v>
      </c>
      <c r="X47" s="303">
        <v>1</v>
      </c>
      <c r="Y47" s="303">
        <v>1</v>
      </c>
      <c r="Z47" s="303">
        <v>1</v>
      </c>
      <c r="AA47" s="303">
        <v>1</v>
      </c>
      <c r="AB47" s="303">
        <v>1</v>
      </c>
      <c r="AC47" s="303">
        <v>1</v>
      </c>
      <c r="AD47" s="303">
        <v>1</v>
      </c>
      <c r="AE47" s="303">
        <v>1</v>
      </c>
      <c r="AF47" s="303">
        <v>1</v>
      </c>
      <c r="AG47" s="303">
        <v>2</v>
      </c>
      <c r="AH47" s="303">
        <v>3</v>
      </c>
      <c r="AI47" s="303">
        <v>4</v>
      </c>
      <c r="AJ47" s="303">
        <v>5</v>
      </c>
      <c r="AK47" s="303">
        <v>6</v>
      </c>
      <c r="AM47" s="349"/>
      <c r="AN47" s="310"/>
    </row>
    <row r="48" spans="1:40" s="298" customFormat="1" ht="13.35" customHeight="1" x14ac:dyDescent="0.2">
      <c r="A48" s="319" t="s">
        <v>532</v>
      </c>
      <c r="B48" s="317">
        <f>SUM(C48:AK48)</f>
        <v>2428861.0805130396</v>
      </c>
      <c r="C48" s="351">
        <f>C47*C46</f>
        <v>0</v>
      </c>
      <c r="D48" s="351">
        <f>D47*D46</f>
        <v>0</v>
      </c>
      <c r="E48" s="351">
        <f>E47*E46</f>
        <v>0</v>
      </c>
      <c r="F48" s="351">
        <f>F47*F46</f>
        <v>52683.010509909989</v>
      </c>
      <c r="G48" s="351">
        <f t="shared" ref="G48:AF48" si="45">G47*G46</f>
        <v>52683.010509909989</v>
      </c>
      <c r="H48" s="351">
        <f t="shared" si="45"/>
        <v>52683.010509909989</v>
      </c>
      <c r="I48" s="351">
        <f t="shared" si="45"/>
        <v>52683.010509909989</v>
      </c>
      <c r="J48" s="351">
        <f t="shared" si="45"/>
        <v>52683.010509909989</v>
      </c>
      <c r="K48" s="351">
        <f t="shared" si="45"/>
        <v>52683.010509909989</v>
      </c>
      <c r="L48" s="351">
        <f t="shared" si="45"/>
        <v>52683.010509909989</v>
      </c>
      <c r="M48" s="351">
        <f t="shared" si="45"/>
        <v>52683.010509909989</v>
      </c>
      <c r="N48" s="351">
        <f t="shared" si="45"/>
        <v>52683.010509909989</v>
      </c>
      <c r="O48" s="351">
        <f t="shared" si="45"/>
        <v>52683.010509909989</v>
      </c>
      <c r="P48" s="351">
        <f t="shared" si="45"/>
        <v>52683.010509909989</v>
      </c>
      <c r="Q48" s="351">
        <f t="shared" si="45"/>
        <v>52683.010509909989</v>
      </c>
      <c r="R48" s="351">
        <f t="shared" si="45"/>
        <v>52683.010509909989</v>
      </c>
      <c r="S48" s="351">
        <f t="shared" si="45"/>
        <v>52577.644488890212</v>
      </c>
      <c r="T48" s="351">
        <f t="shared" si="45"/>
        <v>52472.489199912234</v>
      </c>
      <c r="U48" s="351">
        <f t="shared" si="45"/>
        <v>52367.544221512326</v>
      </c>
      <c r="V48" s="351">
        <f t="shared" si="45"/>
        <v>52262.809133069619</v>
      </c>
      <c r="W48" s="351">
        <f t="shared" si="45"/>
        <v>52158.283514803254</v>
      </c>
      <c r="X48" s="351">
        <f t="shared" si="45"/>
        <v>52053.966947773566</v>
      </c>
      <c r="Y48" s="351">
        <f t="shared" si="45"/>
        <v>51949.859013878064</v>
      </c>
      <c r="Z48" s="351">
        <f t="shared" si="45"/>
        <v>51845.959295850465</v>
      </c>
      <c r="AA48" s="351">
        <f t="shared" si="45"/>
        <v>51742.267377258817</v>
      </c>
      <c r="AB48" s="351">
        <f t="shared" si="45"/>
        <v>51638.78284250429</v>
      </c>
      <c r="AC48" s="351">
        <f t="shared" si="45"/>
        <v>51535.505276819065</v>
      </c>
      <c r="AD48" s="351">
        <f t="shared" si="45"/>
        <v>51432.434266265605</v>
      </c>
      <c r="AE48" s="351">
        <f t="shared" si="45"/>
        <v>51329.569397733103</v>
      </c>
      <c r="AF48" s="351">
        <f t="shared" si="45"/>
        <v>51226.910258937482</v>
      </c>
      <c r="AG48" s="351">
        <f t="shared" ref="AG48:AK48" si="46">AG47*AG46</f>
        <v>102248.91287683949</v>
      </c>
      <c r="AH48" s="351">
        <f t="shared" si="46"/>
        <v>153066.62257662864</v>
      </c>
      <c r="AI48" s="351">
        <f t="shared" si="46"/>
        <v>203680.65244196646</v>
      </c>
      <c r="AJ48" s="351">
        <f t="shared" si="46"/>
        <v>254091.61392135388</v>
      </c>
      <c r="AK48" s="351">
        <f t="shared" si="46"/>
        <v>304300.11683221324</v>
      </c>
      <c r="AM48" s="327"/>
      <c r="AN48" s="310"/>
    </row>
    <row r="49" spans="1:40" s="298" customFormat="1" ht="13.35" customHeight="1" x14ac:dyDescent="0.2">
      <c r="A49" s="352"/>
      <c r="B49" s="325"/>
      <c r="C49" s="320"/>
      <c r="D49" s="320"/>
      <c r="E49" s="320"/>
      <c r="F49" s="320"/>
      <c r="G49" s="320"/>
      <c r="H49" s="320"/>
      <c r="I49" s="320"/>
      <c r="J49" s="320"/>
      <c r="K49" s="320"/>
      <c r="L49" s="320"/>
      <c r="M49" s="320"/>
      <c r="N49" s="320"/>
      <c r="O49" s="320"/>
      <c r="P49" s="320"/>
      <c r="Q49" s="320"/>
      <c r="R49" s="320"/>
      <c r="S49" s="320"/>
      <c r="T49" s="320"/>
      <c r="U49" s="320"/>
      <c r="V49" s="320"/>
      <c r="W49" s="320"/>
      <c r="X49" s="320"/>
      <c r="Y49" s="320"/>
      <c r="Z49" s="320"/>
      <c r="AA49" s="320"/>
      <c r="AB49" s="320"/>
      <c r="AC49" s="320"/>
      <c r="AD49" s="320"/>
      <c r="AE49" s="320"/>
      <c r="AF49" s="353"/>
      <c r="AG49" s="353"/>
      <c r="AH49" s="353"/>
      <c r="AI49" s="353"/>
      <c r="AJ49" s="353"/>
      <c r="AK49" s="353"/>
      <c r="AM49" s="327"/>
      <c r="AN49" s="310"/>
    </row>
    <row r="50" spans="1:40" s="298" customFormat="1" x14ac:dyDescent="0.2">
      <c r="A50" s="304" t="s">
        <v>533</v>
      </c>
      <c r="B50" s="317">
        <f>SUM(C50:AK50)</f>
        <v>202765494.62565339</v>
      </c>
      <c r="C50" s="292">
        <f>C33*$B$6</f>
        <v>0</v>
      </c>
      <c r="D50" s="292">
        <f t="shared" ref="D50:AF50" si="47">D33*$B$6</f>
        <v>0</v>
      </c>
      <c r="E50" s="292">
        <f>E33*$B$6</f>
        <v>0</v>
      </c>
      <c r="F50" s="292">
        <f>F33*$B$6</f>
        <v>6411654.1560985716</v>
      </c>
      <c r="G50" s="292">
        <f>G33*$B$6</f>
        <v>6411654.1560985716</v>
      </c>
      <c r="H50" s="292">
        <f t="shared" si="47"/>
        <v>6411654.1560985716</v>
      </c>
      <c r="I50" s="292">
        <f t="shared" si="47"/>
        <v>6411654.1560985716</v>
      </c>
      <c r="J50" s="292">
        <f t="shared" si="47"/>
        <v>6411654.1560985716</v>
      </c>
      <c r="K50" s="292">
        <f t="shared" si="47"/>
        <v>6411654.1560985716</v>
      </c>
      <c r="L50" s="292">
        <f t="shared" si="47"/>
        <v>6411654.1560985716</v>
      </c>
      <c r="M50" s="292">
        <f t="shared" si="47"/>
        <v>6411654.1560985716</v>
      </c>
      <c r="N50" s="292">
        <f t="shared" si="47"/>
        <v>6411654.1560985716</v>
      </c>
      <c r="O50" s="292">
        <f t="shared" si="47"/>
        <v>6411654.1560985716</v>
      </c>
      <c r="P50" s="292">
        <f t="shared" si="47"/>
        <v>6411654.1560985716</v>
      </c>
      <c r="Q50" s="292">
        <f t="shared" si="47"/>
        <v>6411654.1560985716</v>
      </c>
      <c r="R50" s="292">
        <f t="shared" si="47"/>
        <v>6411654.1560985716</v>
      </c>
      <c r="S50" s="292">
        <f t="shared" si="47"/>
        <v>6398830.8477863744</v>
      </c>
      <c r="T50" s="292">
        <f t="shared" si="47"/>
        <v>6386033.1860908018</v>
      </c>
      <c r="U50" s="292">
        <f t="shared" si="47"/>
        <v>6373261.1197186206</v>
      </c>
      <c r="V50" s="292">
        <f t="shared" si="47"/>
        <v>6360514.5974791832</v>
      </c>
      <c r="W50" s="292">
        <f t="shared" si="47"/>
        <v>6347793.5682842247</v>
      </c>
      <c r="X50" s="292">
        <f t="shared" si="47"/>
        <v>6335097.9811476562</v>
      </c>
      <c r="Y50" s="292">
        <f t="shared" si="47"/>
        <v>6322427.7851853603</v>
      </c>
      <c r="Z50" s="292">
        <f t="shared" si="47"/>
        <v>6309782.9296149891</v>
      </c>
      <c r="AA50" s="292">
        <f t="shared" si="47"/>
        <v>6297163.3637557589</v>
      </c>
      <c r="AB50" s="292">
        <f t="shared" si="47"/>
        <v>6284569.0370282484</v>
      </c>
      <c r="AC50" s="292">
        <f t="shared" si="47"/>
        <v>6271999.8989541912</v>
      </c>
      <c r="AD50" s="292">
        <f t="shared" si="47"/>
        <v>6259455.8991562827</v>
      </c>
      <c r="AE50" s="292">
        <f t="shared" si="47"/>
        <v>6246936.9873579694</v>
      </c>
      <c r="AF50" s="292">
        <f t="shared" si="47"/>
        <v>6234443.113383254</v>
      </c>
      <c r="AG50" s="292">
        <f t="shared" ref="AG50:AK50" si="48">AG33*$B$6</f>
        <v>6221974.2271564882</v>
      </c>
      <c r="AH50" s="292">
        <f t="shared" si="48"/>
        <v>6209530.2787021752</v>
      </c>
      <c r="AI50" s="292">
        <f t="shared" si="48"/>
        <v>6197111.2181447716</v>
      </c>
      <c r="AJ50" s="292">
        <f t="shared" si="48"/>
        <v>6184716.9957084814</v>
      </c>
      <c r="AK50" s="292">
        <f t="shared" si="48"/>
        <v>6172347.5617170641</v>
      </c>
      <c r="AM50" s="327"/>
    </row>
    <row r="51" spans="1:40" s="298" customFormat="1" ht="15.75" x14ac:dyDescent="0.2">
      <c r="A51" s="354" t="s">
        <v>534</v>
      </c>
      <c r="B51" s="355">
        <f>SUM(C51:AK51)</f>
        <v>195760575.40136936</v>
      </c>
      <c r="C51" s="356">
        <f>C50/$B$13*C47</f>
        <v>0</v>
      </c>
      <c r="D51" s="356">
        <f t="shared" ref="D51:AF51" si="49">D50/$B$13*D47</f>
        <v>0</v>
      </c>
      <c r="E51" s="356">
        <f>E50/$B$13*E47</f>
        <v>0</v>
      </c>
      <c r="F51" s="356">
        <f>F50/$B$13*F47</f>
        <v>4246128.5801977292</v>
      </c>
      <c r="G51" s="356">
        <f>G50/$B$13*G47</f>
        <v>4246128.5801977292</v>
      </c>
      <c r="H51" s="356">
        <f t="shared" si="49"/>
        <v>4246128.5801977292</v>
      </c>
      <c r="I51" s="356">
        <f t="shared" si="49"/>
        <v>4246128.5801977292</v>
      </c>
      <c r="J51" s="356">
        <f t="shared" si="49"/>
        <v>4246128.5801977292</v>
      </c>
      <c r="K51" s="356">
        <f t="shared" si="49"/>
        <v>4246128.5801977292</v>
      </c>
      <c r="L51" s="356">
        <f t="shared" si="49"/>
        <v>4246128.5801977292</v>
      </c>
      <c r="M51" s="356">
        <f t="shared" si="49"/>
        <v>4246128.5801977292</v>
      </c>
      <c r="N51" s="356">
        <f t="shared" si="49"/>
        <v>4246128.5801977292</v>
      </c>
      <c r="O51" s="356">
        <f t="shared" si="49"/>
        <v>4246128.5801977292</v>
      </c>
      <c r="P51" s="356">
        <f t="shared" si="49"/>
        <v>4246128.5801977292</v>
      </c>
      <c r="Q51" s="356">
        <f t="shared" si="49"/>
        <v>4246128.5801977292</v>
      </c>
      <c r="R51" s="356">
        <f t="shared" si="49"/>
        <v>4246128.5801977292</v>
      </c>
      <c r="S51" s="356">
        <f t="shared" si="49"/>
        <v>4237636.3230373338</v>
      </c>
      <c r="T51" s="356">
        <f t="shared" si="49"/>
        <v>4229161.0503912596</v>
      </c>
      <c r="U51" s="356">
        <f t="shared" si="49"/>
        <v>4220702.7282904768</v>
      </c>
      <c r="V51" s="356">
        <f t="shared" si="49"/>
        <v>4212261.3228338966</v>
      </c>
      <c r="W51" s="356">
        <f t="shared" si="49"/>
        <v>4203836.8001882285</v>
      </c>
      <c r="X51" s="356">
        <f t="shared" si="49"/>
        <v>4195429.1265878519</v>
      </c>
      <c r="Y51" s="356">
        <f t="shared" si="49"/>
        <v>4187038.2683346756</v>
      </c>
      <c r="Z51" s="356">
        <f t="shared" si="49"/>
        <v>4178664.1917980062</v>
      </c>
      <c r="AA51" s="356">
        <f t="shared" si="49"/>
        <v>4170306.86341441</v>
      </c>
      <c r="AB51" s="356">
        <f t="shared" si="49"/>
        <v>4161966.2496875818</v>
      </c>
      <c r="AC51" s="356">
        <f t="shared" si="49"/>
        <v>4153642.3171882061</v>
      </c>
      <c r="AD51" s="356">
        <f t="shared" si="49"/>
        <v>4145335.0325538297</v>
      </c>
      <c r="AE51" s="356">
        <f t="shared" si="49"/>
        <v>4137044.3624887215</v>
      </c>
      <c r="AF51" s="356">
        <f t="shared" si="49"/>
        <v>4128770.2737637442</v>
      </c>
      <c r="AG51" s="356">
        <f t="shared" ref="AG51:AK51" si="50">AG50/$B$13*AG47</f>
        <v>8241025.4664324345</v>
      </c>
      <c r="AH51" s="356">
        <f t="shared" si="50"/>
        <v>12336815.123249356</v>
      </c>
      <c r="AI51" s="356">
        <f t="shared" si="50"/>
        <v>16416188.657337144</v>
      </c>
      <c r="AJ51" s="356">
        <f t="shared" si="50"/>
        <v>20479195.350028083</v>
      </c>
      <c r="AK51" s="356">
        <f t="shared" si="50"/>
        <v>24525884.351193633</v>
      </c>
      <c r="AM51" s="327"/>
    </row>
    <row r="52" spans="1:40" s="358" customFormat="1" x14ac:dyDescent="0.2">
      <c r="A52" s="357"/>
      <c r="B52" s="357"/>
      <c r="C52" s="357"/>
      <c r="D52" s="357"/>
      <c r="E52" s="357"/>
      <c r="F52" s="357"/>
      <c r="G52" s="357"/>
      <c r="H52" s="357"/>
      <c r="I52" s="357"/>
      <c r="J52" s="357"/>
      <c r="K52" s="357"/>
      <c r="L52" s="357"/>
      <c r="M52" s="357"/>
      <c r="N52" s="357"/>
      <c r="O52" s="357"/>
      <c r="P52" s="357"/>
      <c r="Q52" s="357"/>
      <c r="R52" s="357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57"/>
      <c r="AD52" s="357"/>
      <c r="AE52" s="357"/>
      <c r="AF52" s="357"/>
      <c r="AG52" s="357"/>
      <c r="AH52" s="357"/>
      <c r="AI52" s="357"/>
      <c r="AJ52" s="357"/>
      <c r="AK52" s="357"/>
      <c r="AM52" s="359"/>
    </row>
    <row r="53" spans="1:40" ht="15.75" x14ac:dyDescent="0.2">
      <c r="A53" s="360"/>
      <c r="D53" s="361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AM53" s="362"/>
    </row>
    <row r="54" spans="1:40" ht="15.75" x14ac:dyDescent="0.25">
      <c r="B54" s="363"/>
      <c r="C54" s="364"/>
      <c r="D54" s="364"/>
      <c r="E54" s="364"/>
      <c r="F54" s="363"/>
      <c r="G54" s="365"/>
      <c r="H54" s="365"/>
      <c r="I54" s="365"/>
      <c r="J54" s="365"/>
      <c r="K54" s="365"/>
      <c r="O54" s="365"/>
      <c r="P54" s="365"/>
      <c r="Q54" s="365"/>
      <c r="R54" s="298"/>
      <c r="S54" s="365"/>
      <c r="T54" s="365"/>
      <c r="U54" s="365"/>
      <c r="V54" s="365"/>
      <c r="W54" s="365"/>
      <c r="X54" s="365"/>
      <c r="Y54" s="365"/>
      <c r="Z54" s="365"/>
      <c r="AM54" s="362"/>
    </row>
    <row r="55" spans="1:40" ht="15.75" x14ac:dyDescent="0.25">
      <c r="A55" s="363" t="s">
        <v>662</v>
      </c>
      <c r="B55" s="364"/>
      <c r="C55" s="364"/>
      <c r="D55" s="364"/>
      <c r="E55" s="364"/>
      <c r="J55" s="365"/>
      <c r="K55" s="365"/>
      <c r="O55" s="365"/>
      <c r="P55" s="366"/>
      <c r="Q55" s="366"/>
      <c r="R55" s="366"/>
      <c r="S55" s="367"/>
      <c r="T55" s="368"/>
      <c r="U55" s="369"/>
      <c r="V55" s="365"/>
      <c r="W55" s="365"/>
      <c r="X55" s="365"/>
      <c r="Y55" s="365"/>
      <c r="Z55" s="365"/>
      <c r="AM55" s="362"/>
    </row>
    <row r="56" spans="1:40" ht="82.5" customHeight="1" x14ac:dyDescent="0.25">
      <c r="A56" s="370" t="s">
        <v>535</v>
      </c>
      <c r="B56" s="370">
        <v>2023</v>
      </c>
      <c r="C56" s="371" t="s">
        <v>536</v>
      </c>
      <c r="D56" s="371" t="s">
        <v>653</v>
      </c>
      <c r="E56" s="372"/>
      <c r="F56" s="373"/>
      <c r="G56" s="374"/>
      <c r="H56" s="374"/>
      <c r="I56" s="374"/>
      <c r="J56" s="365"/>
      <c r="K56" s="365"/>
      <c r="O56" s="365"/>
      <c r="P56" s="366"/>
      <c r="Q56" s="366"/>
      <c r="R56" s="366"/>
      <c r="S56" s="367"/>
      <c r="T56" s="368"/>
      <c r="U56" s="375"/>
      <c r="V56" s="365"/>
      <c r="W56" s="365"/>
      <c r="X56" s="365"/>
      <c r="Y56" s="365"/>
      <c r="Z56" s="365"/>
      <c r="AM56" s="362"/>
    </row>
    <row r="57" spans="1:40" ht="15.75" x14ac:dyDescent="0.25">
      <c r="A57" s="376" t="s">
        <v>537</v>
      </c>
      <c r="B57" s="564">
        <v>4084128.7075247318</v>
      </c>
      <c r="C57" s="565">
        <v>3807209.0462935749</v>
      </c>
      <c r="D57" s="565">
        <v>4121444.2025620244</v>
      </c>
      <c r="E57" s="377"/>
      <c r="F57" s="382"/>
      <c r="G57" s="378"/>
      <c r="H57" s="378"/>
      <c r="I57" s="378"/>
      <c r="J57" s="365"/>
      <c r="K57" s="365"/>
      <c r="L57" s="379"/>
      <c r="O57" s="365"/>
      <c r="P57" s="380"/>
      <c r="Q57" s="381"/>
      <c r="R57" s="366"/>
      <c r="S57" s="367"/>
      <c r="T57" s="368"/>
      <c r="U57" s="369"/>
      <c r="V57" s="365"/>
      <c r="W57" s="365"/>
      <c r="X57" s="365"/>
      <c r="Y57" s="365"/>
      <c r="Z57" s="365"/>
    </row>
    <row r="58" spans="1:40" ht="33" customHeight="1" x14ac:dyDescent="0.25">
      <c r="A58" s="385" t="s">
        <v>649</v>
      </c>
      <c r="B58" s="566"/>
      <c r="C58" s="570"/>
      <c r="D58" s="563"/>
      <c r="E58" s="384"/>
      <c r="J58" s="383"/>
      <c r="K58" s="383"/>
      <c r="L58" s="365"/>
      <c r="M58" s="365"/>
      <c r="O58" s="386"/>
      <c r="P58" s="366"/>
      <c r="Q58" s="381"/>
      <c r="R58" s="366"/>
      <c r="S58" s="367"/>
      <c r="T58" s="368"/>
      <c r="U58" s="369"/>
      <c r="V58" s="365"/>
      <c r="W58" s="365"/>
      <c r="X58" s="365"/>
      <c r="Y58" s="365"/>
      <c r="Z58" s="365"/>
    </row>
    <row r="59" spans="1:40" ht="15" x14ac:dyDescent="0.25">
      <c r="E59" s="384"/>
      <c r="J59" s="362"/>
      <c r="K59" s="383"/>
      <c r="L59" s="365"/>
      <c r="M59" s="365"/>
      <c r="P59" s="366"/>
      <c r="Q59" s="381"/>
      <c r="R59" s="366"/>
      <c r="S59" s="367"/>
      <c r="T59" s="368"/>
      <c r="U59" s="369"/>
      <c r="V59" s="365"/>
      <c r="W59" s="365"/>
      <c r="X59" s="365"/>
      <c r="Y59" s="365"/>
      <c r="Z59" s="365"/>
    </row>
    <row r="60" spans="1:40" ht="15" x14ac:dyDescent="0.25">
      <c r="A60" s="387"/>
      <c r="E60" s="384"/>
      <c r="J60" s="362"/>
      <c r="K60" s="383"/>
      <c r="L60" s="365"/>
      <c r="M60" s="365"/>
      <c r="Q60" s="381"/>
      <c r="R60" s="366"/>
      <c r="S60" s="367"/>
      <c r="T60" s="368"/>
      <c r="U60" s="369"/>
      <c r="V60" s="365"/>
      <c r="W60" s="365"/>
      <c r="X60" s="365"/>
      <c r="Y60" s="365"/>
      <c r="Z60" s="365"/>
    </row>
    <row r="61" spans="1:40" x14ac:dyDescent="0.2">
      <c r="J61" s="362"/>
      <c r="K61" s="362"/>
      <c r="Q61" s="362"/>
    </row>
    <row r="62" spans="1:40" x14ac:dyDescent="0.2">
      <c r="J62" s="362"/>
      <c r="K62" s="362"/>
      <c r="Q62" s="362"/>
    </row>
    <row r="63" spans="1:40" ht="15.75" x14ac:dyDescent="0.25">
      <c r="A63" s="363" t="s">
        <v>538</v>
      </c>
      <c r="B63" s="364"/>
      <c r="C63" s="364"/>
      <c r="D63" s="365"/>
      <c r="E63" s="388"/>
      <c r="F63" s="389"/>
      <c r="G63" s="390"/>
      <c r="J63" s="362"/>
      <c r="K63" s="362"/>
      <c r="Q63" s="362"/>
      <c r="W63" s="365"/>
      <c r="X63" s="365"/>
      <c r="Y63" s="365"/>
      <c r="Z63" s="365"/>
    </row>
    <row r="64" spans="1:40" s="398" customFormat="1" ht="45" x14ac:dyDescent="0.25">
      <c r="A64" s="376"/>
      <c r="B64" s="391" t="s">
        <v>539</v>
      </c>
      <c r="C64" s="391" t="s">
        <v>540</v>
      </c>
      <c r="D64" s="392" t="s">
        <v>541</v>
      </c>
      <c r="E64" s="393" t="s">
        <v>542</v>
      </c>
      <c r="F64" s="394" t="s">
        <v>543</v>
      </c>
      <c r="G64" s="395" t="s">
        <v>544</v>
      </c>
      <c r="H64" s="394" t="s">
        <v>660</v>
      </c>
      <c r="I64" s="396"/>
      <c r="J64" s="397"/>
      <c r="K64" s="397"/>
      <c r="Q64" s="397"/>
      <c r="W64" s="396"/>
      <c r="X64" s="396"/>
      <c r="Y64" s="396"/>
      <c r="Z64" s="396"/>
    </row>
    <row r="65" spans="1:26" s="398" customFormat="1" ht="15" x14ac:dyDescent="0.25">
      <c r="A65" s="376" t="s">
        <v>671</v>
      </c>
      <c r="B65" s="399">
        <v>4.2999999999999997E-2</v>
      </c>
      <c r="C65" s="400">
        <f>B65*$C$86</f>
        <v>163709.98899062371</v>
      </c>
      <c r="D65" s="401">
        <v>42.88</v>
      </c>
      <c r="E65" s="568">
        <v>4.1000000000000002E-2</v>
      </c>
      <c r="F65" s="402">
        <f>D65*C65</f>
        <v>7019884.3279179446</v>
      </c>
      <c r="G65" s="403">
        <f>D65*E65</f>
        <v>1.7580800000000001</v>
      </c>
      <c r="H65" s="404">
        <f>C65*D65*E65</f>
        <v>287815.25744463573</v>
      </c>
      <c r="I65" s="405"/>
      <c r="J65" s="397"/>
      <c r="K65" s="397"/>
      <c r="Q65" s="397"/>
      <c r="W65" s="396"/>
      <c r="X65" s="396"/>
      <c r="Y65" s="396"/>
      <c r="Z65" s="396"/>
    </row>
    <row r="66" spans="1:26" s="398" customFormat="1" ht="15" x14ac:dyDescent="0.25">
      <c r="A66" s="376" t="s">
        <v>672</v>
      </c>
      <c r="B66" s="399">
        <v>0.25600000000000001</v>
      </c>
      <c r="C66" s="400">
        <f t="shared" ref="C66:C71" si="51">B66*$C$86</f>
        <v>974645.51585115516</v>
      </c>
      <c r="D66" s="401">
        <v>13.786377</v>
      </c>
      <c r="E66" s="568">
        <v>3.1E-2</v>
      </c>
      <c r="F66" s="402">
        <f t="shared" ref="F66:F71" si="52">D66*C66</f>
        <v>13436830.522883501</v>
      </c>
      <c r="G66" s="403">
        <f t="shared" ref="G66:G71" si="53">D66*E66</f>
        <v>0.42737768700000001</v>
      </c>
      <c r="H66" s="404">
        <f>C66*D66*E66</f>
        <v>416541.74620938854</v>
      </c>
      <c r="I66" s="405"/>
      <c r="J66" s="397"/>
      <c r="K66" s="397"/>
      <c r="Q66" s="397"/>
      <c r="W66" s="396"/>
      <c r="X66" s="396"/>
      <c r="Y66" s="396"/>
      <c r="Z66" s="396"/>
    </row>
    <row r="67" spans="1:26" s="398" customFormat="1" ht="15" x14ac:dyDescent="0.25">
      <c r="A67" s="376" t="s">
        <v>677</v>
      </c>
      <c r="B67" s="399">
        <v>0.70099999999999996</v>
      </c>
      <c r="C67" s="400">
        <f t="shared" si="51"/>
        <v>2668853.541451796</v>
      </c>
      <c r="D67" s="401">
        <v>31.228235999999999</v>
      </c>
      <c r="E67" s="568">
        <v>4.1000000000000002E-2</v>
      </c>
      <c r="F67" s="402">
        <f t="shared" si="52"/>
        <v>83343588.241892457</v>
      </c>
      <c r="G67" s="403">
        <f t="shared" si="53"/>
        <v>1.2803576759999999</v>
      </c>
      <c r="H67" s="404">
        <f>C67*D67*E67</f>
        <v>3417087.1179175908</v>
      </c>
      <c r="I67" s="405"/>
      <c r="J67" s="397"/>
      <c r="K67" s="397"/>
      <c r="Q67" s="397"/>
      <c r="W67" s="396"/>
      <c r="X67" s="396"/>
      <c r="Y67" s="396"/>
      <c r="Z67" s="396"/>
    </row>
    <row r="68" spans="1:26" s="398" customFormat="1" ht="15" hidden="1" x14ac:dyDescent="0.25">
      <c r="A68" s="376"/>
      <c r="B68" s="399">
        <v>0</v>
      </c>
      <c r="C68" s="400">
        <f t="shared" si="51"/>
        <v>0</v>
      </c>
      <c r="D68" s="401"/>
      <c r="E68" s="568"/>
      <c r="F68" s="402">
        <f t="shared" si="52"/>
        <v>0</v>
      </c>
      <c r="G68" s="403">
        <f t="shared" si="53"/>
        <v>0</v>
      </c>
      <c r="H68" s="404">
        <f t="shared" ref="H68:H71" si="54">C68*D68*E68</f>
        <v>0</v>
      </c>
      <c r="I68" s="405"/>
      <c r="J68" s="397"/>
      <c r="K68" s="397"/>
      <c r="Q68" s="397"/>
      <c r="W68" s="396"/>
      <c r="X68" s="396"/>
      <c r="Y68" s="396"/>
      <c r="Z68" s="396"/>
    </row>
    <row r="69" spans="1:26" s="398" customFormat="1" ht="15" hidden="1" x14ac:dyDescent="0.25">
      <c r="A69" s="376"/>
      <c r="B69" s="399">
        <v>0</v>
      </c>
      <c r="C69" s="400">
        <f t="shared" si="51"/>
        <v>0</v>
      </c>
      <c r="D69" s="401"/>
      <c r="E69" s="568"/>
      <c r="F69" s="402">
        <f t="shared" si="52"/>
        <v>0</v>
      </c>
      <c r="G69" s="403">
        <f>D69*E69</f>
        <v>0</v>
      </c>
      <c r="H69" s="404">
        <f>C69*D69*E69</f>
        <v>0</v>
      </c>
      <c r="I69" s="405"/>
      <c r="J69" s="397"/>
      <c r="K69" s="397"/>
      <c r="Q69" s="397"/>
      <c r="W69" s="396"/>
      <c r="X69" s="396"/>
      <c r="Y69" s="396"/>
      <c r="Z69" s="396"/>
    </row>
    <row r="70" spans="1:26" s="398" customFormat="1" ht="15" hidden="1" x14ac:dyDescent="0.25">
      <c r="A70" s="376"/>
      <c r="B70" s="399">
        <v>0</v>
      </c>
      <c r="C70" s="400">
        <f t="shared" si="51"/>
        <v>0</v>
      </c>
      <c r="D70" s="401"/>
      <c r="E70" s="568"/>
      <c r="F70" s="402">
        <f t="shared" si="52"/>
        <v>0</v>
      </c>
      <c r="G70" s="403">
        <f t="shared" si="53"/>
        <v>0</v>
      </c>
      <c r="H70" s="404">
        <f t="shared" si="54"/>
        <v>0</v>
      </c>
      <c r="I70" s="405"/>
      <c r="J70" s="397"/>
      <c r="K70" s="397"/>
      <c r="Q70" s="397"/>
      <c r="W70" s="396"/>
      <c r="X70" s="396"/>
      <c r="Y70" s="396"/>
      <c r="Z70" s="396"/>
    </row>
    <row r="71" spans="1:26" s="398" customFormat="1" ht="15" hidden="1" x14ac:dyDescent="0.25">
      <c r="A71" s="376"/>
      <c r="B71" s="399">
        <v>0</v>
      </c>
      <c r="C71" s="400">
        <f t="shared" si="51"/>
        <v>0</v>
      </c>
      <c r="D71" s="401"/>
      <c r="E71" s="568"/>
      <c r="F71" s="402">
        <f t="shared" si="52"/>
        <v>0</v>
      </c>
      <c r="G71" s="403">
        <f t="shared" si="53"/>
        <v>0</v>
      </c>
      <c r="H71" s="404">
        <f t="shared" si="54"/>
        <v>0</v>
      </c>
      <c r="I71" s="405"/>
      <c r="J71" s="397"/>
      <c r="K71" s="397"/>
      <c r="Q71" s="397"/>
      <c r="W71" s="396"/>
      <c r="X71" s="396"/>
      <c r="Y71" s="396"/>
      <c r="Z71" s="396"/>
    </row>
    <row r="72" spans="1:26" s="398" customFormat="1" ht="38.85" customHeight="1" x14ac:dyDescent="0.25">
      <c r="A72" s="385" t="s">
        <v>663</v>
      </c>
      <c r="B72" s="406"/>
      <c r="C72" s="407">
        <f>SUM(C65:C71)</f>
        <v>3807209.0462935749</v>
      </c>
      <c r="D72" s="571">
        <f>AVERAGE(D65:D71)</f>
        <v>29.298204333333334</v>
      </c>
      <c r="E72" s="408"/>
      <c r="F72" s="409">
        <f>SUM(F65:F71)</f>
        <v>103800303.0926939</v>
      </c>
      <c r="G72" s="410"/>
      <c r="H72" s="409">
        <f>SUM(H65:H71)</f>
        <v>4121444.1215716153</v>
      </c>
      <c r="I72" s="396"/>
      <c r="J72" s="397"/>
      <c r="K72" s="397"/>
      <c r="Q72" s="397"/>
      <c r="W72" s="396"/>
      <c r="X72" s="396"/>
      <c r="Y72" s="396"/>
      <c r="Z72" s="396"/>
    </row>
    <row r="73" spans="1:26" s="398" customFormat="1" ht="22.5" customHeight="1" x14ac:dyDescent="0.25">
      <c r="A73" s="411"/>
      <c r="B73" s="396"/>
      <c r="C73" s="396"/>
      <c r="D73" s="396"/>
      <c r="E73" s="412"/>
      <c r="F73" s="413" t="s">
        <v>545</v>
      </c>
      <c r="G73" s="414">
        <f>ROUND(SUMPRODUCT(G65:G71,C65:C71)/C72,4)</f>
        <v>1.0825</v>
      </c>
      <c r="I73" s="415"/>
      <c r="J73" s="397"/>
      <c r="K73" s="397"/>
      <c r="Q73" s="397"/>
      <c r="W73" s="396"/>
      <c r="X73" s="396"/>
      <c r="Y73" s="396"/>
      <c r="Z73" s="396"/>
    </row>
    <row r="74" spans="1:26" ht="18.75" x14ac:dyDescent="0.3">
      <c r="A74" s="365"/>
      <c r="B74" s="365"/>
      <c r="C74" s="365"/>
      <c r="D74" s="416"/>
      <c r="E74" s="390"/>
      <c r="F74" s="417"/>
      <c r="G74" s="418"/>
      <c r="H74" s="419"/>
      <c r="I74" s="420"/>
      <c r="J74" s="362"/>
      <c r="K74" s="362"/>
      <c r="W74" s="365"/>
      <c r="X74" s="365"/>
      <c r="Y74" s="365"/>
      <c r="Z74" s="365"/>
    </row>
    <row r="75" spans="1:26" ht="15.75" x14ac:dyDescent="0.25">
      <c r="A75" s="365"/>
      <c r="B75" s="365"/>
      <c r="C75" s="365"/>
      <c r="D75" s="365"/>
      <c r="E75" s="390"/>
      <c r="H75" s="421"/>
      <c r="J75" s="362"/>
      <c r="K75" s="362"/>
      <c r="W75" s="365"/>
      <c r="X75" s="365"/>
      <c r="Y75" s="365"/>
      <c r="Z75" s="365"/>
    </row>
    <row r="76" spans="1:26" ht="15.75" x14ac:dyDescent="0.25">
      <c r="A76" s="422" t="s">
        <v>661</v>
      </c>
      <c r="B76" s="365"/>
      <c r="C76" s="298"/>
      <c r="D76" s="423"/>
      <c r="E76" s="423"/>
      <c r="F76" s="423"/>
      <c r="G76" s="423"/>
      <c r="H76" s="419"/>
      <c r="W76" s="365"/>
      <c r="X76" s="365"/>
      <c r="Y76" s="365"/>
      <c r="Z76" s="365"/>
    </row>
    <row r="77" spans="1:26" ht="24" x14ac:dyDescent="0.25">
      <c r="A77" s="424" t="s">
        <v>546</v>
      </c>
      <c r="B77" s="425" t="s">
        <v>547</v>
      </c>
      <c r="C77" s="425" t="s">
        <v>548</v>
      </c>
      <c r="D77" s="426" t="s">
        <v>549</v>
      </c>
      <c r="E77" s="426" t="s">
        <v>656</v>
      </c>
      <c r="F77" s="426" t="s">
        <v>550</v>
      </c>
      <c r="G77" s="427"/>
      <c r="H77" s="419"/>
      <c r="W77" s="365"/>
      <c r="X77" s="365"/>
      <c r="Y77" s="365"/>
      <c r="Z77" s="365"/>
    </row>
    <row r="78" spans="1:26" ht="18.75" x14ac:dyDescent="0.3">
      <c r="A78" s="740">
        <v>120</v>
      </c>
      <c r="B78" s="428" t="s">
        <v>537</v>
      </c>
      <c r="C78" s="429"/>
      <c r="D78" s="430">
        <f>SUM(D79:D79)</f>
        <v>11152.813009009844</v>
      </c>
      <c r="E78" s="430">
        <f>SUM(E79:E79)</f>
        <v>22776.871638118697</v>
      </c>
      <c r="F78" s="430">
        <f t="shared" ref="F78" si="55">(D78*5+E78)*52</f>
        <v>4084128.7075247313</v>
      </c>
      <c r="G78" s="431"/>
      <c r="H78" s="432"/>
      <c r="I78" s="433"/>
      <c r="U78" s="365"/>
      <c r="V78" s="365"/>
      <c r="W78" s="365"/>
      <c r="X78" s="365"/>
      <c r="Y78" s="365"/>
      <c r="Z78" s="365"/>
    </row>
    <row r="79" spans="1:26" ht="18.75" x14ac:dyDescent="0.3">
      <c r="A79" s="740"/>
      <c r="B79" s="324"/>
      <c r="C79" s="304" t="s">
        <v>537</v>
      </c>
      <c r="D79" s="569">
        <f>F79*0.71/260</f>
        <v>11152.813009009844</v>
      </c>
      <c r="E79" s="569">
        <f>F79*0.29/52</f>
        <v>22776.871638118697</v>
      </c>
      <c r="F79" s="567">
        <f>B57</f>
        <v>4084128.7075247318</v>
      </c>
      <c r="G79" s="431"/>
      <c r="H79" s="434"/>
      <c r="I79" s="420"/>
      <c r="U79" s="365"/>
      <c r="V79" s="365"/>
      <c r="W79" s="365"/>
      <c r="X79" s="365"/>
      <c r="Y79" s="365"/>
      <c r="Z79" s="365"/>
    </row>
    <row r="80" spans="1:26" ht="30.75" customHeight="1" x14ac:dyDescent="0.3">
      <c r="A80" s="793" t="s">
        <v>650</v>
      </c>
      <c r="B80" s="793"/>
      <c r="C80" s="793"/>
      <c r="D80" s="793"/>
      <c r="E80" s="793"/>
      <c r="F80" s="793"/>
      <c r="G80" s="365"/>
      <c r="H80" s="419"/>
      <c r="I80" s="420"/>
      <c r="J80" s="420"/>
      <c r="U80" s="365"/>
      <c r="V80" s="365"/>
      <c r="W80" s="365"/>
      <c r="X80" s="365"/>
      <c r="Y80" s="365"/>
      <c r="Z80" s="365"/>
    </row>
    <row r="81" spans="1:42" ht="12.75" customHeight="1" x14ac:dyDescent="0.3">
      <c r="A81" s="365"/>
      <c r="B81" s="365"/>
      <c r="C81" s="365"/>
      <c r="D81" s="365"/>
      <c r="E81" s="390"/>
      <c r="F81" s="390"/>
      <c r="G81" s="418"/>
      <c r="H81" s="419"/>
      <c r="I81" s="420"/>
      <c r="J81" s="420"/>
      <c r="U81" s="365"/>
      <c r="V81" s="365"/>
      <c r="W81" s="365"/>
      <c r="X81" s="365"/>
      <c r="Y81" s="365"/>
      <c r="Z81" s="365"/>
    </row>
    <row r="82" spans="1:42" ht="14.1" customHeight="1" x14ac:dyDescent="0.25">
      <c r="A82" s="365"/>
      <c r="B82" s="365"/>
      <c r="C82" s="365"/>
      <c r="D82" s="365"/>
      <c r="E82" s="390"/>
      <c r="F82" s="390"/>
      <c r="G82" s="418"/>
      <c r="H82" s="419"/>
      <c r="U82" s="365"/>
      <c r="V82" s="365"/>
      <c r="W82" s="365"/>
      <c r="X82" s="365"/>
      <c r="Y82" s="365"/>
      <c r="Z82" s="365"/>
    </row>
    <row r="84" spans="1:42" ht="15.75" x14ac:dyDescent="0.25">
      <c r="A84" s="363" t="s">
        <v>657</v>
      </c>
      <c r="B84" s="363"/>
      <c r="C84" s="435"/>
      <c r="D84" s="435"/>
      <c r="E84" s="435"/>
      <c r="F84" s="435"/>
      <c r="G84" s="435"/>
      <c r="H84" s="436"/>
      <c r="I84" s="436"/>
      <c r="J84" s="436"/>
      <c r="K84" s="436"/>
      <c r="L84" s="436"/>
      <c r="M84" s="436"/>
      <c r="O84" s="436"/>
      <c r="P84" s="436"/>
      <c r="Q84" s="436"/>
      <c r="R84" s="436"/>
      <c r="S84" s="436"/>
      <c r="T84" s="436"/>
      <c r="U84" s="436"/>
      <c r="V84" s="436"/>
      <c r="W84" s="436"/>
      <c r="X84" s="436"/>
      <c r="Y84" s="436"/>
      <c r="Z84" s="436"/>
      <c r="AA84" s="436"/>
      <c r="AB84" s="436"/>
      <c r="AC84" s="436"/>
      <c r="AD84" s="436"/>
      <c r="AE84" s="436"/>
      <c r="AF84" s="436"/>
      <c r="AG84" s="436"/>
      <c r="AH84" s="436"/>
      <c r="AI84" s="436"/>
      <c r="AJ84" s="436"/>
      <c r="AK84" s="436"/>
    </row>
    <row r="85" spans="1:42" ht="15.75" x14ac:dyDescent="0.25">
      <c r="A85" s="412" t="s">
        <v>551</v>
      </c>
      <c r="B85" s="437" t="s">
        <v>552</v>
      </c>
      <c r="C85" s="774">
        <v>2023</v>
      </c>
      <c r="D85" s="774">
        <f t="shared" ref="D85:AF85" si="56">C85+1</f>
        <v>2024</v>
      </c>
      <c r="E85" s="412">
        <f t="shared" si="56"/>
        <v>2025</v>
      </c>
      <c r="F85" s="412">
        <f t="shared" si="56"/>
        <v>2026</v>
      </c>
      <c r="G85" s="412">
        <f t="shared" si="56"/>
        <v>2027</v>
      </c>
      <c r="H85" s="412">
        <f t="shared" si="56"/>
        <v>2028</v>
      </c>
      <c r="I85" s="412">
        <f t="shared" si="56"/>
        <v>2029</v>
      </c>
      <c r="J85" s="412">
        <f t="shared" si="56"/>
        <v>2030</v>
      </c>
      <c r="K85" s="412">
        <f t="shared" si="56"/>
        <v>2031</v>
      </c>
      <c r="L85" s="412">
        <f t="shared" si="56"/>
        <v>2032</v>
      </c>
      <c r="M85" s="412">
        <f t="shared" si="56"/>
        <v>2033</v>
      </c>
      <c r="N85" s="412">
        <f t="shared" si="56"/>
        <v>2034</v>
      </c>
      <c r="O85" s="412">
        <f t="shared" si="56"/>
        <v>2035</v>
      </c>
      <c r="P85" s="412">
        <f t="shared" si="56"/>
        <v>2036</v>
      </c>
      <c r="Q85" s="412">
        <f t="shared" si="56"/>
        <v>2037</v>
      </c>
      <c r="R85" s="412">
        <f t="shared" si="56"/>
        <v>2038</v>
      </c>
      <c r="S85" s="412">
        <f t="shared" si="56"/>
        <v>2039</v>
      </c>
      <c r="T85" s="412">
        <f t="shared" si="56"/>
        <v>2040</v>
      </c>
      <c r="U85" s="412">
        <f t="shared" si="56"/>
        <v>2041</v>
      </c>
      <c r="V85" s="412">
        <f t="shared" si="56"/>
        <v>2042</v>
      </c>
      <c r="W85" s="412">
        <f t="shared" si="56"/>
        <v>2043</v>
      </c>
      <c r="X85" s="412">
        <f t="shared" si="56"/>
        <v>2044</v>
      </c>
      <c r="Y85" s="412">
        <f t="shared" si="56"/>
        <v>2045</v>
      </c>
      <c r="Z85" s="412">
        <f t="shared" si="56"/>
        <v>2046</v>
      </c>
      <c r="AA85" s="412">
        <f t="shared" si="56"/>
        <v>2047</v>
      </c>
      <c r="AB85" s="412">
        <f t="shared" si="56"/>
        <v>2048</v>
      </c>
      <c r="AC85" s="412">
        <f t="shared" si="56"/>
        <v>2049</v>
      </c>
      <c r="AD85" s="412">
        <f t="shared" si="56"/>
        <v>2050</v>
      </c>
      <c r="AE85" s="412">
        <f t="shared" si="56"/>
        <v>2051</v>
      </c>
      <c r="AF85" s="412">
        <f t="shared" si="56"/>
        <v>2052</v>
      </c>
      <c r="AG85" s="412">
        <f t="shared" ref="AG85" si="57">AF85+1</f>
        <v>2053</v>
      </c>
      <c r="AH85" s="412">
        <f t="shared" ref="AH85" si="58">AG85+1</f>
        <v>2054</v>
      </c>
      <c r="AI85" s="412">
        <f t="shared" ref="AI85" si="59">AH85+1</f>
        <v>2055</v>
      </c>
      <c r="AJ85" s="412">
        <f t="shared" ref="AJ85" si="60">AI85+1</f>
        <v>2056</v>
      </c>
      <c r="AK85" s="412">
        <f t="shared" ref="AK85" si="61">AJ85+1</f>
        <v>2057</v>
      </c>
      <c r="AL85" s="412">
        <f t="shared" ref="AL85" si="62">AK85+1</f>
        <v>2058</v>
      </c>
      <c r="AM85" s="412">
        <f t="shared" ref="AM85" si="63">AL85+1</f>
        <v>2059</v>
      </c>
    </row>
    <row r="86" spans="1:42" ht="15" x14ac:dyDescent="0.25">
      <c r="A86" s="438" t="s">
        <v>537</v>
      </c>
      <c r="B86" s="439">
        <f>SUM(E86:AM86)</f>
        <v>132339421.94665535</v>
      </c>
      <c r="C86" s="775">
        <f>C57</f>
        <v>3807209.0462935749</v>
      </c>
      <c r="D86" s="775">
        <f>C86*1.001</f>
        <v>3811016.2553398679</v>
      </c>
      <c r="E86" s="565">
        <f t="shared" ref="E86:G86" si="64">D86*1.001</f>
        <v>3814827.2715952075</v>
      </c>
      <c r="F86" s="565">
        <f t="shared" si="64"/>
        <v>3818642.0988668022</v>
      </c>
      <c r="G86" s="565">
        <f t="shared" si="64"/>
        <v>3822460.7409656686</v>
      </c>
      <c r="H86" s="565">
        <f>G86*1</f>
        <v>3822460.7409656686</v>
      </c>
      <c r="I86" s="565">
        <f t="shared" ref="I86:T86" si="65">H86*1</f>
        <v>3822460.7409656686</v>
      </c>
      <c r="J86" s="565">
        <f t="shared" si="65"/>
        <v>3822460.7409656686</v>
      </c>
      <c r="K86" s="565">
        <f t="shared" si="65"/>
        <v>3822460.7409656686</v>
      </c>
      <c r="L86" s="565">
        <f t="shared" si="65"/>
        <v>3822460.7409656686</v>
      </c>
      <c r="M86" s="565">
        <f t="shared" si="65"/>
        <v>3822460.7409656686</v>
      </c>
      <c r="N86" s="565">
        <f t="shared" si="65"/>
        <v>3822460.7409656686</v>
      </c>
      <c r="O86" s="565">
        <f t="shared" si="65"/>
        <v>3822460.7409656686</v>
      </c>
      <c r="P86" s="565">
        <f t="shared" si="65"/>
        <v>3822460.7409656686</v>
      </c>
      <c r="Q86" s="565">
        <f t="shared" si="65"/>
        <v>3822460.7409656686</v>
      </c>
      <c r="R86" s="565">
        <f t="shared" si="65"/>
        <v>3822460.7409656686</v>
      </c>
      <c r="S86" s="565">
        <f t="shared" si="65"/>
        <v>3822460.7409656686</v>
      </c>
      <c r="T86" s="565">
        <f t="shared" si="65"/>
        <v>3822460.7409656686</v>
      </c>
      <c r="U86" s="565">
        <f>T86*0.998</f>
        <v>3814815.8194837375</v>
      </c>
      <c r="V86" s="565">
        <f t="shared" ref="V86:AM86" si="66">U86*0.998</f>
        <v>3807186.18784477</v>
      </c>
      <c r="W86" s="565">
        <f t="shared" si="66"/>
        <v>3799571.8154690806</v>
      </c>
      <c r="X86" s="565">
        <f t="shared" si="66"/>
        <v>3791972.6718381424</v>
      </c>
      <c r="Y86" s="565">
        <f t="shared" si="66"/>
        <v>3784388.726494466</v>
      </c>
      <c r="Z86" s="565">
        <f t="shared" si="66"/>
        <v>3776819.9490414769</v>
      </c>
      <c r="AA86" s="565">
        <f t="shared" si="66"/>
        <v>3769266.3091433938</v>
      </c>
      <c r="AB86" s="565">
        <f t="shared" si="66"/>
        <v>3761727.7765251067</v>
      </c>
      <c r="AC86" s="565">
        <f t="shared" si="66"/>
        <v>3754204.3209720566</v>
      </c>
      <c r="AD86" s="565">
        <f t="shared" si="66"/>
        <v>3746695.9123301124</v>
      </c>
      <c r="AE86" s="565">
        <f t="shared" si="66"/>
        <v>3739202.5205054521</v>
      </c>
      <c r="AF86" s="565">
        <f t="shared" si="66"/>
        <v>3731724.115464441</v>
      </c>
      <c r="AG86" s="565">
        <f t="shared" si="66"/>
        <v>3724260.6672335123</v>
      </c>
      <c r="AH86" s="565">
        <f t="shared" si="66"/>
        <v>3716812.1458990453</v>
      </c>
      <c r="AI86" s="565">
        <f t="shared" si="66"/>
        <v>3709378.5216072472</v>
      </c>
      <c r="AJ86" s="565">
        <f t="shared" si="66"/>
        <v>3701959.7645640327</v>
      </c>
      <c r="AK86" s="565">
        <f t="shared" si="66"/>
        <v>3694555.8450349048</v>
      </c>
      <c r="AL86" s="565">
        <f t="shared" si="66"/>
        <v>3687166.7333448348</v>
      </c>
      <c r="AM86" s="565">
        <f t="shared" si="66"/>
        <v>3679792.3998781452</v>
      </c>
      <c r="AN86" s="442"/>
      <c r="AO86" s="442"/>
      <c r="AP86" s="441"/>
    </row>
    <row r="87" spans="1:42" ht="15" x14ac:dyDescent="0.25">
      <c r="A87" s="411" t="s">
        <v>712</v>
      </c>
      <c r="B87" s="440"/>
      <c r="C87" s="436"/>
      <c r="D87" s="436"/>
      <c r="E87" s="436"/>
      <c r="F87" s="436"/>
      <c r="G87" s="436"/>
      <c r="H87" s="436"/>
      <c r="I87" s="436"/>
      <c r="J87" s="436"/>
      <c r="K87" s="436"/>
      <c r="L87" s="436"/>
      <c r="M87" s="436"/>
      <c r="N87" s="436"/>
      <c r="O87" s="436"/>
      <c r="P87" s="436"/>
      <c r="Q87" s="436"/>
      <c r="R87" s="436"/>
      <c r="S87" s="436"/>
      <c r="T87" s="436"/>
      <c r="U87" s="436"/>
      <c r="V87" s="436"/>
      <c r="W87" s="436"/>
      <c r="X87" s="436"/>
      <c r="Y87" s="436"/>
      <c r="Z87" s="436"/>
      <c r="AA87" s="436"/>
      <c r="AB87" s="436"/>
      <c r="AC87" s="436"/>
      <c r="AD87" s="436"/>
      <c r="AE87" s="436"/>
      <c r="AF87" s="436"/>
      <c r="AG87" s="436"/>
      <c r="AH87" s="436"/>
      <c r="AI87" s="436"/>
      <c r="AJ87" s="436"/>
      <c r="AK87" s="436"/>
      <c r="AL87" s="442"/>
      <c r="AM87" s="442"/>
      <c r="AN87" s="442"/>
      <c r="AO87" s="442"/>
      <c r="AP87" s="441"/>
    </row>
    <row r="88" spans="1:42" x14ac:dyDescent="0.2">
      <c r="AB88" s="379"/>
      <c r="AC88" s="379"/>
      <c r="AD88" s="379"/>
      <c r="AE88" s="379"/>
      <c r="AF88" s="379"/>
      <c r="AG88" s="379"/>
      <c r="AN88" s="442"/>
      <c r="AO88" s="442"/>
      <c r="AP88" s="441"/>
    </row>
    <row r="89" spans="1:42" ht="15" x14ac:dyDescent="0.25">
      <c r="N89" s="436"/>
      <c r="AL89" s="442"/>
      <c r="AM89" s="442"/>
      <c r="AN89" s="442"/>
      <c r="AO89" s="442"/>
      <c r="AP89" s="441"/>
    </row>
    <row r="90" spans="1:42" x14ac:dyDescent="0.2">
      <c r="AL90" s="442"/>
      <c r="AM90" s="442"/>
      <c r="AN90" s="442"/>
      <c r="AO90" s="442"/>
      <c r="AP90" s="441"/>
    </row>
    <row r="91" spans="1:42" x14ac:dyDescent="0.2">
      <c r="AL91" s="442"/>
      <c r="AM91" s="442"/>
      <c r="AN91" s="442"/>
      <c r="AO91" s="442"/>
      <c r="AP91" s="441"/>
    </row>
    <row r="92" spans="1:42" ht="15.75" x14ac:dyDescent="0.25">
      <c r="A92" s="363" t="s">
        <v>652</v>
      </c>
      <c r="B92" s="443"/>
      <c r="C92" s="443"/>
      <c r="D92" s="443"/>
      <c r="F92" s="444"/>
      <c r="AL92" s="442"/>
      <c r="AM92" s="442"/>
      <c r="AN92" s="441"/>
      <c r="AO92" s="441"/>
      <c r="AP92" s="441"/>
    </row>
    <row r="93" spans="1:42" ht="15" x14ac:dyDescent="0.25">
      <c r="A93" s="444"/>
      <c r="B93" s="444"/>
      <c r="C93" s="444"/>
      <c r="D93" s="444"/>
      <c r="AL93" s="441"/>
      <c r="AM93" s="441"/>
      <c r="AN93" s="441"/>
      <c r="AO93" s="441"/>
      <c r="AP93" s="441"/>
    </row>
    <row r="94" spans="1:42" ht="54.75" customHeight="1" x14ac:dyDescent="0.2">
      <c r="A94" s="445" t="s">
        <v>548</v>
      </c>
      <c r="B94" s="446" t="s">
        <v>665</v>
      </c>
      <c r="C94" s="446" t="s">
        <v>553</v>
      </c>
      <c r="D94" s="446" t="s">
        <v>554</v>
      </c>
      <c r="F94" s="447"/>
      <c r="AL94" s="441"/>
      <c r="AM94" s="441"/>
      <c r="AN94" s="441"/>
      <c r="AO94" s="441"/>
      <c r="AP94" s="441"/>
    </row>
    <row r="95" spans="1:42" x14ac:dyDescent="0.2">
      <c r="A95" s="304" t="s">
        <v>537</v>
      </c>
      <c r="B95" s="449">
        <v>25193.222222222223</v>
      </c>
      <c r="C95" s="559">
        <f>B95*B13</f>
        <v>38041.765555555554</v>
      </c>
      <c r="D95" s="448">
        <f t="shared" ref="D95" si="67">C95*250+C95*115</f>
        <v>13885244.427777776</v>
      </c>
      <c r="F95" s="447"/>
      <c r="AL95" s="441"/>
      <c r="AM95" s="441"/>
      <c r="AN95" s="441"/>
      <c r="AO95" s="441"/>
      <c r="AP95" s="441"/>
    </row>
    <row r="96" spans="1:42" ht="24" x14ac:dyDescent="0.2">
      <c r="A96" s="385" t="s">
        <v>664</v>
      </c>
      <c r="B96" s="450"/>
      <c r="C96" s="558"/>
      <c r="D96" s="558"/>
      <c r="AL96" s="441"/>
      <c r="AM96" s="441"/>
      <c r="AN96" s="441"/>
      <c r="AO96" s="441"/>
      <c r="AP96" s="441"/>
    </row>
    <row r="97" spans="2:6" ht="15" x14ac:dyDescent="0.25">
      <c r="B97" s="560"/>
      <c r="C97" s="396"/>
      <c r="D97" s="451"/>
      <c r="E97" s="451"/>
    </row>
    <row r="98" spans="2:6" ht="15" x14ac:dyDescent="0.25">
      <c r="B98" s="560"/>
      <c r="C98" s="396"/>
      <c r="D98" s="451"/>
      <c r="E98" s="451"/>
      <c r="F98" s="451"/>
    </row>
    <row r="99" spans="2:6" ht="15" x14ac:dyDescent="0.25">
      <c r="B99" s="561"/>
      <c r="E99" s="444"/>
    </row>
    <row r="100" spans="2:6" ht="15" x14ac:dyDescent="0.25">
      <c r="B100" s="561"/>
      <c r="E100" s="444"/>
    </row>
    <row r="101" spans="2:6" ht="15" x14ac:dyDescent="0.25">
      <c r="B101" s="561"/>
      <c r="E101" s="444"/>
    </row>
    <row r="102" spans="2:6" x14ac:dyDescent="0.2">
      <c r="B102" s="561"/>
    </row>
    <row r="103" spans="2:6" x14ac:dyDescent="0.2">
      <c r="B103" s="561"/>
    </row>
    <row r="104" spans="2:6" x14ac:dyDescent="0.2">
      <c r="B104" s="561"/>
    </row>
    <row r="105" spans="2:6" x14ac:dyDescent="0.2">
      <c r="B105" s="561"/>
    </row>
    <row r="106" spans="2:6" x14ac:dyDescent="0.2">
      <c r="B106" s="561"/>
    </row>
    <row r="107" spans="2:6" x14ac:dyDescent="0.2">
      <c r="B107" s="561"/>
    </row>
    <row r="108" spans="2:6" x14ac:dyDescent="0.2">
      <c r="B108" s="561"/>
    </row>
    <row r="109" spans="2:6" x14ac:dyDescent="0.2">
      <c r="B109" s="561"/>
    </row>
    <row r="110" spans="2:6" x14ac:dyDescent="0.2">
      <c r="B110" s="561"/>
    </row>
    <row r="111" spans="2:6" x14ac:dyDescent="0.2">
      <c r="B111" s="561"/>
    </row>
    <row r="112" spans="2:6" x14ac:dyDescent="0.2">
      <c r="B112" s="561"/>
    </row>
    <row r="113" spans="1:6" x14ac:dyDescent="0.2">
      <c r="B113" s="561"/>
    </row>
    <row r="114" spans="1:6" x14ac:dyDescent="0.2">
      <c r="B114" s="561"/>
    </row>
    <row r="115" spans="1:6" x14ac:dyDescent="0.2">
      <c r="B115" s="562"/>
    </row>
    <row r="119" spans="1:6" ht="25.5" x14ac:dyDescent="0.2">
      <c r="A119" s="671"/>
      <c r="B119" s="672" t="s">
        <v>281</v>
      </c>
      <c r="C119" s="673" t="s">
        <v>282</v>
      </c>
      <c r="D119" s="673" t="s">
        <v>283</v>
      </c>
      <c r="E119" s="673" t="s">
        <v>708</v>
      </c>
      <c r="F119" s="674" t="s">
        <v>709</v>
      </c>
    </row>
    <row r="120" spans="1:6" x14ac:dyDescent="0.2">
      <c r="A120" s="675" t="s">
        <v>710</v>
      </c>
      <c r="B120" s="676">
        <v>0</v>
      </c>
      <c r="C120" s="676">
        <v>7.843E-2</v>
      </c>
      <c r="D120" s="676">
        <v>9.8039215686274508E-3</v>
      </c>
      <c r="E120" s="676">
        <v>0.91176000000000001</v>
      </c>
      <c r="F120" s="677">
        <f>SUM(B120:E120)</f>
        <v>0.99999392156862743</v>
      </c>
    </row>
    <row r="121" spans="1:6" x14ac:dyDescent="0.2">
      <c r="A121" s="675" t="s">
        <v>711</v>
      </c>
      <c r="B121" s="676">
        <v>0</v>
      </c>
      <c r="C121" s="676">
        <v>0.20799999999999999</v>
      </c>
      <c r="D121" s="676">
        <v>0.11345</v>
      </c>
      <c r="E121" s="676">
        <v>0.67849999999999999</v>
      </c>
      <c r="F121" s="677">
        <f>SUM(B121:E121)</f>
        <v>0.99995000000000001</v>
      </c>
    </row>
  </sheetData>
  <sheetProtection algorithmName="SHA-512" hashValue="B8yf2YshLwihUiq3oqtqkP7wSdOaNt+EiEIODKw3NOH4k7WJSsP7PSmuq9tgH79eqKVYVLiTQXnveXX4emQnBA==" saltValue="QfY/Hp3S/yqqLJ2VzNsArg==" spinCount="100000" sheet="1" objects="1" scenarios="1"/>
  <mergeCells count="8">
    <mergeCell ref="D6:I6"/>
    <mergeCell ref="D7:K7"/>
    <mergeCell ref="D8:K8"/>
    <mergeCell ref="D10:K10"/>
    <mergeCell ref="D11:K11"/>
    <mergeCell ref="D12:I12"/>
    <mergeCell ref="D13:I13"/>
    <mergeCell ref="A78:A79"/>
  </mergeCells>
  <pageMargins left="0.70866141732283472" right="0.70866141732283472" top="0.74803149606299213" bottom="0.74803149606299213" header="0.31496062992125984" footer="0.31496062992125984"/>
  <pageSetup scale="55" pageOrder="overThenDown" orientation="landscape" r:id="rId1"/>
  <headerFooter>
    <oddHeader>&amp;A</oddHeader>
    <oddFooter>Strana &amp;P z &amp;N</oddFooter>
  </headerFooter>
  <rowBreaks count="1" manualBreakCount="1">
    <brk id="74" max="16383" man="1"/>
  </rowBreaks>
  <colBreaks count="1" manualBreakCount="1">
    <brk id="1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B2:AL35"/>
  <sheetViews>
    <sheetView zoomScale="90" zoomScaleNormal="90" workbookViewId="0"/>
  </sheetViews>
  <sheetFormatPr defaultColWidth="9.140625" defaultRowHeight="11.25" x14ac:dyDescent="0.2"/>
  <cols>
    <col min="1" max="1" width="3.7109375" style="30" customWidth="1"/>
    <col min="2" max="2" width="40.5703125" style="30" bestFit="1" customWidth="1"/>
    <col min="3" max="3" width="9.140625" style="30" bestFit="1" customWidth="1"/>
    <col min="4" max="38" width="7.7109375" style="30" bestFit="1" customWidth="1"/>
    <col min="39" max="16384" width="9.140625" style="30"/>
  </cols>
  <sheetData>
    <row r="2" spans="2:38" x14ac:dyDescent="0.2">
      <c r="B2" s="31"/>
      <c r="C2" s="31"/>
      <c r="D2" s="31" t="s">
        <v>10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</row>
    <row r="3" spans="2:38" x14ac:dyDescent="0.2">
      <c r="B3" s="32" t="s">
        <v>451</v>
      </c>
      <c r="C3" s="32"/>
      <c r="D3" s="33">
        <v>1</v>
      </c>
      <c r="E3" s="33">
        <v>2</v>
      </c>
      <c r="F3" s="33">
        <v>3</v>
      </c>
      <c r="G3" s="33">
        <v>4</v>
      </c>
      <c r="H3" s="33">
        <v>5</v>
      </c>
      <c r="I3" s="33">
        <v>6</v>
      </c>
      <c r="J3" s="33">
        <v>7</v>
      </c>
      <c r="K3" s="33">
        <v>8</v>
      </c>
      <c r="L3" s="33">
        <v>9</v>
      </c>
      <c r="M3" s="33">
        <v>10</v>
      </c>
      <c r="N3" s="33">
        <v>11</v>
      </c>
      <c r="O3" s="33">
        <v>12</v>
      </c>
      <c r="P3" s="33">
        <v>13</v>
      </c>
      <c r="Q3" s="33">
        <v>14</v>
      </c>
      <c r="R3" s="33">
        <v>15</v>
      </c>
      <c r="S3" s="33">
        <v>16</v>
      </c>
      <c r="T3" s="33">
        <v>17</v>
      </c>
      <c r="U3" s="33">
        <v>18</v>
      </c>
      <c r="V3" s="33">
        <v>19</v>
      </c>
      <c r="W3" s="33">
        <v>20</v>
      </c>
      <c r="X3" s="33">
        <v>21</v>
      </c>
      <c r="Y3" s="33">
        <v>22</v>
      </c>
      <c r="Z3" s="33">
        <v>23</v>
      </c>
      <c r="AA3" s="33">
        <v>24</v>
      </c>
      <c r="AB3" s="33">
        <v>25</v>
      </c>
      <c r="AC3" s="33">
        <v>26</v>
      </c>
      <c r="AD3" s="33">
        <v>27</v>
      </c>
      <c r="AE3" s="33">
        <v>28</v>
      </c>
      <c r="AF3" s="33">
        <v>29</v>
      </c>
      <c r="AG3" s="33">
        <v>30</v>
      </c>
      <c r="AH3" s="33">
        <v>31</v>
      </c>
      <c r="AI3" s="33">
        <v>32</v>
      </c>
      <c r="AJ3" s="33">
        <v>33</v>
      </c>
      <c r="AK3" s="33">
        <v>34</v>
      </c>
      <c r="AL3" s="33">
        <v>35</v>
      </c>
    </row>
    <row r="4" spans="2:38" x14ac:dyDescent="0.2">
      <c r="B4" s="34" t="s">
        <v>33</v>
      </c>
      <c r="C4" s="272" t="s">
        <v>9</v>
      </c>
      <c r="D4" s="35">
        <f>Parametre!C13</f>
        <v>2025</v>
      </c>
      <c r="E4" s="35">
        <f>D4+$D$3</f>
        <v>2026</v>
      </c>
      <c r="F4" s="35">
        <f t="shared" ref="F4:AG4" si="0">E4+$D$3</f>
        <v>2027</v>
      </c>
      <c r="G4" s="35">
        <f t="shared" si="0"/>
        <v>2028</v>
      </c>
      <c r="H4" s="35">
        <f t="shared" si="0"/>
        <v>2029</v>
      </c>
      <c r="I4" s="35">
        <f t="shared" si="0"/>
        <v>2030</v>
      </c>
      <c r="J4" s="35">
        <f t="shared" si="0"/>
        <v>2031</v>
      </c>
      <c r="K4" s="35">
        <f t="shared" si="0"/>
        <v>2032</v>
      </c>
      <c r="L4" s="35">
        <f t="shared" si="0"/>
        <v>2033</v>
      </c>
      <c r="M4" s="35">
        <f t="shared" si="0"/>
        <v>2034</v>
      </c>
      <c r="N4" s="35">
        <f t="shared" si="0"/>
        <v>2035</v>
      </c>
      <c r="O4" s="35">
        <f t="shared" si="0"/>
        <v>2036</v>
      </c>
      <c r="P4" s="35">
        <f t="shared" si="0"/>
        <v>2037</v>
      </c>
      <c r="Q4" s="35">
        <f t="shared" si="0"/>
        <v>2038</v>
      </c>
      <c r="R4" s="35">
        <f t="shared" si="0"/>
        <v>2039</v>
      </c>
      <c r="S4" s="35">
        <f t="shared" si="0"/>
        <v>2040</v>
      </c>
      <c r="T4" s="35">
        <f t="shared" si="0"/>
        <v>2041</v>
      </c>
      <c r="U4" s="35">
        <f t="shared" si="0"/>
        <v>2042</v>
      </c>
      <c r="V4" s="35">
        <f t="shared" si="0"/>
        <v>2043</v>
      </c>
      <c r="W4" s="35">
        <f t="shared" si="0"/>
        <v>2044</v>
      </c>
      <c r="X4" s="35">
        <f t="shared" si="0"/>
        <v>2045</v>
      </c>
      <c r="Y4" s="35">
        <f t="shared" si="0"/>
        <v>2046</v>
      </c>
      <c r="Z4" s="35">
        <f t="shared" si="0"/>
        <v>2047</v>
      </c>
      <c r="AA4" s="35">
        <f t="shared" si="0"/>
        <v>2048</v>
      </c>
      <c r="AB4" s="35">
        <f t="shared" si="0"/>
        <v>2049</v>
      </c>
      <c r="AC4" s="35">
        <f t="shared" si="0"/>
        <v>2050</v>
      </c>
      <c r="AD4" s="35">
        <f t="shared" si="0"/>
        <v>2051</v>
      </c>
      <c r="AE4" s="35">
        <f t="shared" si="0"/>
        <v>2052</v>
      </c>
      <c r="AF4" s="35">
        <f t="shared" si="0"/>
        <v>2053</v>
      </c>
      <c r="AG4" s="35">
        <f t="shared" si="0"/>
        <v>2054</v>
      </c>
      <c r="AH4" s="35">
        <f t="shared" ref="AH4" si="1">AG4+$D$3</f>
        <v>2055</v>
      </c>
      <c r="AI4" s="35">
        <f t="shared" ref="AI4" si="2">AH4+$D$3</f>
        <v>2056</v>
      </c>
      <c r="AJ4" s="35">
        <f t="shared" ref="AJ4" si="3">AI4+$D$3</f>
        <v>2057</v>
      </c>
      <c r="AK4" s="35">
        <f t="shared" ref="AK4" si="4">AJ4+$D$3</f>
        <v>2058</v>
      </c>
      <c r="AL4" s="35">
        <f t="shared" ref="AL4" si="5">AK4+$D$3</f>
        <v>2059</v>
      </c>
    </row>
    <row r="5" spans="2:38" x14ac:dyDescent="0.2">
      <c r="B5" s="31" t="s">
        <v>281</v>
      </c>
      <c r="C5" s="37">
        <f>SUM(D5:AL5)</f>
        <v>0</v>
      </c>
      <c r="D5" s="122">
        <v>0</v>
      </c>
      <c r="E5" s="122">
        <v>0</v>
      </c>
      <c r="F5" s="122">
        <v>0</v>
      </c>
      <c r="G5" s="122">
        <v>0</v>
      </c>
      <c r="H5" s="122">
        <v>0</v>
      </c>
      <c r="I5" s="122">
        <v>0</v>
      </c>
      <c r="J5" s="122">
        <v>0</v>
      </c>
      <c r="K5" s="122">
        <v>0</v>
      </c>
      <c r="L5" s="122">
        <v>0</v>
      </c>
      <c r="M5" s="122">
        <v>0</v>
      </c>
      <c r="N5" s="122">
        <v>0</v>
      </c>
      <c r="O5" s="122">
        <v>0</v>
      </c>
      <c r="P5" s="122">
        <v>0</v>
      </c>
      <c r="Q5" s="122">
        <v>0</v>
      </c>
      <c r="R5" s="122">
        <v>0</v>
      </c>
      <c r="S5" s="122">
        <v>0</v>
      </c>
      <c r="T5" s="122">
        <v>0</v>
      </c>
      <c r="U5" s="122">
        <v>0</v>
      </c>
      <c r="V5" s="122">
        <v>0</v>
      </c>
      <c r="W5" s="122">
        <v>0</v>
      </c>
      <c r="X5" s="122">
        <v>0</v>
      </c>
      <c r="Y5" s="122">
        <v>0</v>
      </c>
      <c r="Z5" s="122">
        <v>0</v>
      </c>
      <c r="AA5" s="122">
        <v>0</v>
      </c>
      <c r="AB5" s="122">
        <v>0</v>
      </c>
      <c r="AC5" s="122">
        <v>0</v>
      </c>
      <c r="AD5" s="122">
        <v>0</v>
      </c>
      <c r="AE5" s="122">
        <v>0</v>
      </c>
      <c r="AF5" s="122">
        <v>0</v>
      </c>
      <c r="AG5" s="122">
        <v>0</v>
      </c>
      <c r="AH5" s="122">
        <v>0</v>
      </c>
      <c r="AI5" s="122">
        <v>0</v>
      </c>
      <c r="AJ5" s="122">
        <v>0</v>
      </c>
      <c r="AK5" s="122">
        <v>0</v>
      </c>
      <c r="AL5" s="122">
        <v>0</v>
      </c>
    </row>
    <row r="6" spans="2:38" x14ac:dyDescent="0.2">
      <c r="B6" s="31" t="s">
        <v>282</v>
      </c>
      <c r="C6" s="37">
        <f>SUM(D6:AL6)</f>
        <v>3530848.0129999984</v>
      </c>
      <c r="D6" s="122">
        <f>'03 A_Prevádzkové výdavky'!E4*Vstupy!$C$120</f>
        <v>100881.37179999999</v>
      </c>
      <c r="E6" s="122">
        <f>'03 A_Prevádzkové výdavky'!F4*Vstupy!$C$120</f>
        <v>100881.37179999999</v>
      </c>
      <c r="F6" s="122">
        <f>'03 A_Prevádzkové výdavky'!G4*Vstupy!$C$120</f>
        <v>100881.37179999999</v>
      </c>
      <c r="G6" s="122">
        <f>'03 A_Prevádzkové výdavky'!H4*Vstupy!$C$120</f>
        <v>100881.37179999999</v>
      </c>
      <c r="H6" s="122">
        <f>'03 A_Prevádzkové výdavky'!I4*Vstupy!$C$120</f>
        <v>100881.37179999999</v>
      </c>
      <c r="I6" s="122">
        <f>'03 A_Prevádzkové výdavky'!J4*Vstupy!$C$120</f>
        <v>100881.37179999999</v>
      </c>
      <c r="J6" s="122">
        <f>'03 A_Prevádzkové výdavky'!K4*Vstupy!$C$120</f>
        <v>100881.37179999999</v>
      </c>
      <c r="K6" s="122">
        <f>'03 A_Prevádzkové výdavky'!L4*Vstupy!$C$120</f>
        <v>100881.37179999999</v>
      </c>
      <c r="L6" s="122">
        <f>'03 A_Prevádzkové výdavky'!M4*Vstupy!$C$120</f>
        <v>100881.37179999999</v>
      </c>
      <c r="M6" s="122">
        <f>'03 A_Prevádzkové výdavky'!N4*Vstupy!$C$120</f>
        <v>100881.37179999999</v>
      </c>
      <c r="N6" s="122">
        <f>'03 A_Prevádzkové výdavky'!O4*Vstupy!$C$120</f>
        <v>100881.37179999999</v>
      </c>
      <c r="O6" s="122">
        <f>'03 A_Prevádzkové výdavky'!P4*Vstupy!$C$120</f>
        <v>100881.37179999999</v>
      </c>
      <c r="P6" s="122">
        <f>'03 A_Prevádzkové výdavky'!Q4*Vstupy!$C$120</f>
        <v>100881.37179999999</v>
      </c>
      <c r="Q6" s="122">
        <f>'03 A_Prevádzkové výdavky'!R4*Vstupy!$C$120</f>
        <v>100881.37179999999</v>
      </c>
      <c r="R6" s="122">
        <f>'03 A_Prevádzkové výdavky'!S4*Vstupy!$C$120</f>
        <v>100881.37179999999</v>
      </c>
      <c r="S6" s="122">
        <f>'03 A_Prevádzkové výdavky'!T4*Vstupy!$C$120</f>
        <v>100881.37179999999</v>
      </c>
      <c r="T6" s="122">
        <f>'03 A_Prevádzkové výdavky'!U4*Vstupy!$C$120</f>
        <v>100881.37179999999</v>
      </c>
      <c r="U6" s="122">
        <f>'03 A_Prevádzkové výdavky'!V4*Vstupy!$C$120</f>
        <v>100881.37179999999</v>
      </c>
      <c r="V6" s="122">
        <f>'03 A_Prevádzkové výdavky'!W4*Vstupy!$C$120</f>
        <v>100881.37179999999</v>
      </c>
      <c r="W6" s="122">
        <f>'03 A_Prevádzkové výdavky'!X4*Vstupy!$C$120</f>
        <v>100881.37179999999</v>
      </c>
      <c r="X6" s="122">
        <f>'03 A_Prevádzkové výdavky'!Y4*Vstupy!$C$120</f>
        <v>100881.37179999999</v>
      </c>
      <c r="Y6" s="122">
        <f>'03 A_Prevádzkové výdavky'!Z4*Vstupy!$C$120</f>
        <v>100881.37179999999</v>
      </c>
      <c r="Z6" s="122">
        <f>'03 A_Prevádzkové výdavky'!AA4*Vstupy!$C$120</f>
        <v>100881.37179999999</v>
      </c>
      <c r="AA6" s="122">
        <f>'03 A_Prevádzkové výdavky'!AB4*Vstupy!$C$120</f>
        <v>100881.37179999999</v>
      </c>
      <c r="AB6" s="122">
        <f>'03 A_Prevádzkové výdavky'!AC4*Vstupy!$C$120</f>
        <v>100881.37179999999</v>
      </c>
      <c r="AC6" s="122">
        <f>'03 A_Prevádzkové výdavky'!AD4*Vstupy!$C$120</f>
        <v>100881.37179999999</v>
      </c>
      <c r="AD6" s="122">
        <f>'03 A_Prevádzkové výdavky'!AE4*Vstupy!$C$120</f>
        <v>100881.37179999999</v>
      </c>
      <c r="AE6" s="122">
        <f>'03 A_Prevádzkové výdavky'!AF4*Vstupy!$C$120</f>
        <v>100881.37179999999</v>
      </c>
      <c r="AF6" s="122">
        <f>'03 A_Prevádzkové výdavky'!AG4*Vstupy!$C$120</f>
        <v>100881.37179999999</v>
      </c>
      <c r="AG6" s="122">
        <f>'03 A_Prevádzkové výdavky'!AH4*Vstupy!$C$120</f>
        <v>100881.37179999999</v>
      </c>
      <c r="AH6" s="122">
        <f>'03 A_Prevádzkové výdavky'!AI4*Vstupy!$C$120</f>
        <v>100881.37179999999</v>
      </c>
      <c r="AI6" s="122">
        <f>'03 A_Prevádzkové výdavky'!AJ4*Vstupy!$C$120</f>
        <v>100881.37179999999</v>
      </c>
      <c r="AJ6" s="122">
        <f>'03 A_Prevádzkové výdavky'!AK4*Vstupy!$C$120</f>
        <v>100881.37179999999</v>
      </c>
      <c r="AK6" s="122">
        <f>'03 A_Prevádzkové výdavky'!AL4*Vstupy!$C$120</f>
        <v>100881.37179999999</v>
      </c>
      <c r="AL6" s="122">
        <f>'03 A_Prevádzkové výdavky'!AM4*Vstupy!$C$120</f>
        <v>100881.37179999999</v>
      </c>
    </row>
    <row r="7" spans="2:38" x14ac:dyDescent="0.2">
      <c r="B7" s="31" t="s">
        <v>283</v>
      </c>
      <c r="C7" s="37">
        <f>SUM(D7:AL7)</f>
        <v>441363.72549019638</v>
      </c>
      <c r="D7" s="122">
        <f>'03 A_Prevádzkové výdavky'!E4*Vstupy!$D$120</f>
        <v>12610.392156862745</v>
      </c>
      <c r="E7" s="122">
        <f>'03 A_Prevádzkové výdavky'!F4*Vstupy!$D$120</f>
        <v>12610.392156862745</v>
      </c>
      <c r="F7" s="122">
        <f>'03 A_Prevádzkové výdavky'!G4*Vstupy!$D$120</f>
        <v>12610.392156862745</v>
      </c>
      <c r="G7" s="122">
        <f>'03 A_Prevádzkové výdavky'!H4*Vstupy!$D$120</f>
        <v>12610.392156862745</v>
      </c>
      <c r="H7" s="122">
        <f>'03 A_Prevádzkové výdavky'!I4*Vstupy!$D$120</f>
        <v>12610.392156862745</v>
      </c>
      <c r="I7" s="122">
        <f>'03 A_Prevádzkové výdavky'!J4*Vstupy!$D$120</f>
        <v>12610.392156862745</v>
      </c>
      <c r="J7" s="122">
        <f>'03 A_Prevádzkové výdavky'!K4*Vstupy!$D$120</f>
        <v>12610.392156862745</v>
      </c>
      <c r="K7" s="122">
        <f>'03 A_Prevádzkové výdavky'!L4*Vstupy!$D$120</f>
        <v>12610.392156862745</v>
      </c>
      <c r="L7" s="122">
        <f>'03 A_Prevádzkové výdavky'!M4*Vstupy!$D$120</f>
        <v>12610.392156862745</v>
      </c>
      <c r="M7" s="122">
        <f>'03 A_Prevádzkové výdavky'!N4*Vstupy!$D$120</f>
        <v>12610.392156862745</v>
      </c>
      <c r="N7" s="122">
        <f>'03 A_Prevádzkové výdavky'!O4*Vstupy!$D$120</f>
        <v>12610.392156862745</v>
      </c>
      <c r="O7" s="122">
        <f>'03 A_Prevádzkové výdavky'!P4*Vstupy!$D$120</f>
        <v>12610.392156862745</v>
      </c>
      <c r="P7" s="122">
        <f>'03 A_Prevádzkové výdavky'!Q4*Vstupy!$D$120</f>
        <v>12610.392156862745</v>
      </c>
      <c r="Q7" s="122">
        <f>'03 A_Prevádzkové výdavky'!R4*Vstupy!$D$120</f>
        <v>12610.392156862745</v>
      </c>
      <c r="R7" s="122">
        <f>'03 A_Prevádzkové výdavky'!S4*Vstupy!$D$120</f>
        <v>12610.392156862745</v>
      </c>
      <c r="S7" s="122">
        <f>'03 A_Prevádzkové výdavky'!T4*Vstupy!$D$120</f>
        <v>12610.392156862745</v>
      </c>
      <c r="T7" s="122">
        <f>'03 A_Prevádzkové výdavky'!U4*Vstupy!$D$120</f>
        <v>12610.392156862745</v>
      </c>
      <c r="U7" s="122">
        <f>'03 A_Prevádzkové výdavky'!V4*Vstupy!$D$120</f>
        <v>12610.392156862745</v>
      </c>
      <c r="V7" s="122">
        <f>'03 A_Prevádzkové výdavky'!W4*Vstupy!$D$120</f>
        <v>12610.392156862745</v>
      </c>
      <c r="W7" s="122">
        <f>'03 A_Prevádzkové výdavky'!X4*Vstupy!$D$120</f>
        <v>12610.392156862745</v>
      </c>
      <c r="X7" s="122">
        <f>'03 A_Prevádzkové výdavky'!Y4*Vstupy!$D$120</f>
        <v>12610.392156862745</v>
      </c>
      <c r="Y7" s="122">
        <f>'03 A_Prevádzkové výdavky'!Z4*Vstupy!$D$120</f>
        <v>12610.392156862745</v>
      </c>
      <c r="Z7" s="122">
        <f>'03 A_Prevádzkové výdavky'!AA4*Vstupy!$D$120</f>
        <v>12610.392156862745</v>
      </c>
      <c r="AA7" s="122">
        <f>'03 A_Prevádzkové výdavky'!AB4*Vstupy!$D$120</f>
        <v>12610.392156862745</v>
      </c>
      <c r="AB7" s="122">
        <f>'03 A_Prevádzkové výdavky'!AC4*Vstupy!$D$120</f>
        <v>12610.392156862745</v>
      </c>
      <c r="AC7" s="122">
        <f>'03 A_Prevádzkové výdavky'!AD4*Vstupy!$D$120</f>
        <v>12610.392156862745</v>
      </c>
      <c r="AD7" s="122">
        <f>'03 A_Prevádzkové výdavky'!AE4*Vstupy!$D$120</f>
        <v>12610.392156862745</v>
      </c>
      <c r="AE7" s="122">
        <f>'03 A_Prevádzkové výdavky'!AF4*Vstupy!$D$120</f>
        <v>12610.392156862745</v>
      </c>
      <c r="AF7" s="122">
        <f>'03 A_Prevádzkové výdavky'!AG4*Vstupy!$D$120</f>
        <v>12610.392156862745</v>
      </c>
      <c r="AG7" s="122">
        <f>'03 A_Prevádzkové výdavky'!AH4*Vstupy!$D$120</f>
        <v>12610.392156862745</v>
      </c>
      <c r="AH7" s="122">
        <f>'03 A_Prevádzkové výdavky'!AI4*Vstupy!$D$120</f>
        <v>12610.392156862745</v>
      </c>
      <c r="AI7" s="122">
        <f>'03 A_Prevádzkové výdavky'!AJ4*Vstupy!$D$120</f>
        <v>12610.392156862745</v>
      </c>
      <c r="AJ7" s="122">
        <f>'03 A_Prevádzkové výdavky'!AK4*Vstupy!$D$120</f>
        <v>12610.392156862745</v>
      </c>
      <c r="AK7" s="122">
        <f>'03 A_Prevádzkové výdavky'!AL4*Vstupy!$D$120</f>
        <v>12610.392156862745</v>
      </c>
      <c r="AL7" s="122">
        <f>'03 A_Prevádzkové výdavky'!AM4*Vstupy!$D$120</f>
        <v>12610.392156862745</v>
      </c>
    </row>
    <row r="8" spans="2:38" x14ac:dyDescent="0.2">
      <c r="B8" s="32" t="s">
        <v>9</v>
      </c>
      <c r="C8" s="123">
        <f>SUM(D8:AL8)</f>
        <v>3972211.7384901922</v>
      </c>
      <c r="D8" s="123">
        <f t="shared" ref="D8:AG8" si="6">SUM(D5:D7)</f>
        <v>113491.76395686273</v>
      </c>
      <c r="E8" s="123">
        <f t="shared" si="6"/>
        <v>113491.76395686273</v>
      </c>
      <c r="F8" s="123">
        <f t="shared" si="6"/>
        <v>113491.76395686273</v>
      </c>
      <c r="G8" s="123">
        <f t="shared" si="6"/>
        <v>113491.76395686273</v>
      </c>
      <c r="H8" s="123">
        <f t="shared" si="6"/>
        <v>113491.76395686273</v>
      </c>
      <c r="I8" s="123">
        <f t="shared" si="6"/>
        <v>113491.76395686273</v>
      </c>
      <c r="J8" s="123">
        <f t="shared" si="6"/>
        <v>113491.76395686273</v>
      </c>
      <c r="K8" s="123">
        <f t="shared" si="6"/>
        <v>113491.76395686273</v>
      </c>
      <c r="L8" s="123">
        <f t="shared" si="6"/>
        <v>113491.76395686273</v>
      </c>
      <c r="M8" s="123">
        <f t="shared" si="6"/>
        <v>113491.76395686273</v>
      </c>
      <c r="N8" s="123">
        <f t="shared" si="6"/>
        <v>113491.76395686273</v>
      </c>
      <c r="O8" s="123">
        <f t="shared" si="6"/>
        <v>113491.76395686273</v>
      </c>
      <c r="P8" s="123">
        <f t="shared" si="6"/>
        <v>113491.76395686273</v>
      </c>
      <c r="Q8" s="123">
        <f t="shared" si="6"/>
        <v>113491.76395686273</v>
      </c>
      <c r="R8" s="123">
        <f t="shared" si="6"/>
        <v>113491.76395686273</v>
      </c>
      <c r="S8" s="123">
        <f t="shared" si="6"/>
        <v>113491.76395686273</v>
      </c>
      <c r="T8" s="123">
        <f t="shared" si="6"/>
        <v>113491.76395686273</v>
      </c>
      <c r="U8" s="123">
        <f t="shared" si="6"/>
        <v>113491.76395686273</v>
      </c>
      <c r="V8" s="123">
        <f t="shared" si="6"/>
        <v>113491.76395686273</v>
      </c>
      <c r="W8" s="123">
        <f t="shared" si="6"/>
        <v>113491.76395686273</v>
      </c>
      <c r="X8" s="123">
        <f t="shared" si="6"/>
        <v>113491.76395686273</v>
      </c>
      <c r="Y8" s="123">
        <f t="shared" si="6"/>
        <v>113491.76395686273</v>
      </c>
      <c r="Z8" s="123">
        <f t="shared" si="6"/>
        <v>113491.76395686273</v>
      </c>
      <c r="AA8" s="123">
        <f t="shared" si="6"/>
        <v>113491.76395686273</v>
      </c>
      <c r="AB8" s="123">
        <f t="shared" si="6"/>
        <v>113491.76395686273</v>
      </c>
      <c r="AC8" s="123">
        <f t="shared" si="6"/>
        <v>113491.76395686273</v>
      </c>
      <c r="AD8" s="123">
        <f t="shared" si="6"/>
        <v>113491.76395686273</v>
      </c>
      <c r="AE8" s="123">
        <f t="shared" si="6"/>
        <v>113491.76395686273</v>
      </c>
      <c r="AF8" s="123">
        <f t="shared" si="6"/>
        <v>113491.76395686273</v>
      </c>
      <c r="AG8" s="123">
        <f t="shared" si="6"/>
        <v>113491.76395686273</v>
      </c>
      <c r="AH8" s="123">
        <f t="shared" ref="AH8:AL8" si="7">SUM(AH5:AH7)</f>
        <v>113491.76395686273</v>
      </c>
      <c r="AI8" s="123">
        <f t="shared" si="7"/>
        <v>113491.76395686273</v>
      </c>
      <c r="AJ8" s="123">
        <f t="shared" si="7"/>
        <v>113491.76395686273</v>
      </c>
      <c r="AK8" s="123">
        <f t="shared" si="7"/>
        <v>113491.76395686273</v>
      </c>
      <c r="AL8" s="123">
        <f t="shared" si="7"/>
        <v>113491.76395686273</v>
      </c>
    </row>
    <row r="11" spans="2:38" x14ac:dyDescent="0.2">
      <c r="B11" s="31"/>
      <c r="C11" s="31"/>
      <c r="D11" s="31" t="s">
        <v>10</v>
      </c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2:38" x14ac:dyDescent="0.2">
      <c r="B12" s="32" t="s">
        <v>452</v>
      </c>
      <c r="C12" s="32"/>
      <c r="D12" s="33">
        <v>1</v>
      </c>
      <c r="E12" s="33">
        <v>2</v>
      </c>
      <c r="F12" s="33">
        <v>3</v>
      </c>
      <c r="G12" s="33">
        <v>4</v>
      </c>
      <c r="H12" s="33">
        <v>5</v>
      </c>
      <c r="I12" s="33">
        <v>6</v>
      </c>
      <c r="J12" s="33">
        <v>7</v>
      </c>
      <c r="K12" s="33">
        <v>8</v>
      </c>
      <c r="L12" s="33">
        <v>9</v>
      </c>
      <c r="M12" s="33">
        <v>10</v>
      </c>
      <c r="N12" s="33">
        <v>11</v>
      </c>
      <c r="O12" s="33">
        <v>12</v>
      </c>
      <c r="P12" s="33">
        <v>13</v>
      </c>
      <c r="Q12" s="33">
        <v>14</v>
      </c>
      <c r="R12" s="33">
        <v>15</v>
      </c>
      <c r="S12" s="33">
        <v>16</v>
      </c>
      <c r="T12" s="33">
        <v>17</v>
      </c>
      <c r="U12" s="33">
        <v>18</v>
      </c>
      <c r="V12" s="33">
        <v>19</v>
      </c>
      <c r="W12" s="33">
        <v>20</v>
      </c>
      <c r="X12" s="33">
        <v>21</v>
      </c>
      <c r="Y12" s="33">
        <v>22</v>
      </c>
      <c r="Z12" s="33">
        <v>23</v>
      </c>
      <c r="AA12" s="33">
        <v>24</v>
      </c>
      <c r="AB12" s="33">
        <v>25</v>
      </c>
      <c r="AC12" s="33">
        <v>26</v>
      </c>
      <c r="AD12" s="33">
        <v>27</v>
      </c>
      <c r="AE12" s="33">
        <v>28</v>
      </c>
      <c r="AF12" s="33">
        <v>29</v>
      </c>
      <c r="AG12" s="33">
        <v>30</v>
      </c>
      <c r="AH12" s="33">
        <v>31</v>
      </c>
      <c r="AI12" s="33">
        <v>32</v>
      </c>
      <c r="AJ12" s="33">
        <v>33</v>
      </c>
      <c r="AK12" s="33">
        <v>34</v>
      </c>
      <c r="AL12" s="33">
        <v>35</v>
      </c>
    </row>
    <row r="13" spans="2:38" x14ac:dyDescent="0.2">
      <c r="B13" s="34" t="s">
        <v>34</v>
      </c>
      <c r="C13" s="272" t="s">
        <v>9</v>
      </c>
      <c r="D13" s="35">
        <f t="shared" ref="D13:AG13" si="8">D4</f>
        <v>2025</v>
      </c>
      <c r="E13" s="35">
        <f t="shared" si="8"/>
        <v>2026</v>
      </c>
      <c r="F13" s="35">
        <f t="shared" si="8"/>
        <v>2027</v>
      </c>
      <c r="G13" s="35">
        <f t="shared" si="8"/>
        <v>2028</v>
      </c>
      <c r="H13" s="35">
        <f t="shared" si="8"/>
        <v>2029</v>
      </c>
      <c r="I13" s="35">
        <f t="shared" si="8"/>
        <v>2030</v>
      </c>
      <c r="J13" s="35">
        <f t="shared" si="8"/>
        <v>2031</v>
      </c>
      <c r="K13" s="35">
        <f t="shared" si="8"/>
        <v>2032</v>
      </c>
      <c r="L13" s="35">
        <f t="shared" si="8"/>
        <v>2033</v>
      </c>
      <c r="M13" s="35">
        <f t="shared" si="8"/>
        <v>2034</v>
      </c>
      <c r="N13" s="35">
        <f t="shared" si="8"/>
        <v>2035</v>
      </c>
      <c r="O13" s="35">
        <f t="shared" si="8"/>
        <v>2036</v>
      </c>
      <c r="P13" s="35">
        <f t="shared" si="8"/>
        <v>2037</v>
      </c>
      <c r="Q13" s="35">
        <f t="shared" si="8"/>
        <v>2038</v>
      </c>
      <c r="R13" s="35">
        <f t="shared" si="8"/>
        <v>2039</v>
      </c>
      <c r="S13" s="35">
        <f t="shared" si="8"/>
        <v>2040</v>
      </c>
      <c r="T13" s="35">
        <f t="shared" si="8"/>
        <v>2041</v>
      </c>
      <c r="U13" s="35">
        <f t="shared" si="8"/>
        <v>2042</v>
      </c>
      <c r="V13" s="35">
        <f t="shared" si="8"/>
        <v>2043</v>
      </c>
      <c r="W13" s="35">
        <f t="shared" si="8"/>
        <v>2044</v>
      </c>
      <c r="X13" s="35">
        <f t="shared" si="8"/>
        <v>2045</v>
      </c>
      <c r="Y13" s="35">
        <f t="shared" si="8"/>
        <v>2046</v>
      </c>
      <c r="Z13" s="35">
        <f t="shared" si="8"/>
        <v>2047</v>
      </c>
      <c r="AA13" s="35">
        <f t="shared" si="8"/>
        <v>2048</v>
      </c>
      <c r="AB13" s="35">
        <f t="shared" si="8"/>
        <v>2049</v>
      </c>
      <c r="AC13" s="35">
        <f t="shared" si="8"/>
        <v>2050</v>
      </c>
      <c r="AD13" s="35">
        <f t="shared" si="8"/>
        <v>2051</v>
      </c>
      <c r="AE13" s="35">
        <f t="shared" si="8"/>
        <v>2052</v>
      </c>
      <c r="AF13" s="35">
        <f t="shared" si="8"/>
        <v>2053</v>
      </c>
      <c r="AG13" s="35">
        <f t="shared" si="8"/>
        <v>2054</v>
      </c>
      <c r="AH13" s="35">
        <f t="shared" ref="AH13:AL13" si="9">AH4</f>
        <v>2055</v>
      </c>
      <c r="AI13" s="35">
        <f t="shared" si="9"/>
        <v>2056</v>
      </c>
      <c r="AJ13" s="35">
        <f t="shared" si="9"/>
        <v>2057</v>
      </c>
      <c r="AK13" s="35">
        <f t="shared" si="9"/>
        <v>2058</v>
      </c>
      <c r="AL13" s="35">
        <f t="shared" si="9"/>
        <v>2059</v>
      </c>
    </row>
    <row r="14" spans="2:38" x14ac:dyDescent="0.2">
      <c r="B14" s="31" t="s">
        <v>281</v>
      </c>
      <c r="C14" s="37">
        <f>SUM(D14:AL14)</f>
        <v>0</v>
      </c>
      <c r="D14" s="122">
        <v>0</v>
      </c>
      <c r="E14" s="122">
        <v>0</v>
      </c>
      <c r="F14" s="122">
        <v>0</v>
      </c>
      <c r="G14" s="122">
        <v>0</v>
      </c>
      <c r="H14" s="122">
        <v>0</v>
      </c>
      <c r="I14" s="122">
        <v>0</v>
      </c>
      <c r="J14" s="122">
        <v>0</v>
      </c>
      <c r="K14" s="122">
        <v>0</v>
      </c>
      <c r="L14" s="122">
        <v>0</v>
      </c>
      <c r="M14" s="122">
        <v>0</v>
      </c>
      <c r="N14" s="122">
        <v>0</v>
      </c>
      <c r="O14" s="122">
        <v>0</v>
      </c>
      <c r="P14" s="122">
        <v>0</v>
      </c>
      <c r="Q14" s="122">
        <v>0</v>
      </c>
      <c r="R14" s="122">
        <v>0</v>
      </c>
      <c r="S14" s="122">
        <v>0</v>
      </c>
      <c r="T14" s="122">
        <v>0</v>
      </c>
      <c r="U14" s="122">
        <v>0</v>
      </c>
      <c r="V14" s="122">
        <v>0</v>
      </c>
      <c r="W14" s="122">
        <v>0</v>
      </c>
      <c r="X14" s="122">
        <v>0</v>
      </c>
      <c r="Y14" s="122">
        <v>0</v>
      </c>
      <c r="Z14" s="122">
        <v>0</v>
      </c>
      <c r="AA14" s="122">
        <v>0</v>
      </c>
      <c r="AB14" s="122">
        <v>0</v>
      </c>
      <c r="AC14" s="122">
        <v>0</v>
      </c>
      <c r="AD14" s="122">
        <v>0</v>
      </c>
      <c r="AE14" s="122">
        <v>0</v>
      </c>
      <c r="AF14" s="122">
        <v>0</v>
      </c>
      <c r="AG14" s="122">
        <v>0</v>
      </c>
      <c r="AH14" s="122">
        <v>0</v>
      </c>
      <c r="AI14" s="122">
        <v>0</v>
      </c>
      <c r="AJ14" s="122">
        <v>0</v>
      </c>
      <c r="AK14" s="122">
        <v>0</v>
      </c>
      <c r="AL14" s="122">
        <v>0</v>
      </c>
    </row>
    <row r="15" spans="2:38" x14ac:dyDescent="0.2">
      <c r="B15" s="31" t="s">
        <v>282</v>
      </c>
      <c r="C15" s="37">
        <f>SUM(D15:AL15)</f>
        <v>3985214.9634000021</v>
      </c>
      <c r="D15" s="122">
        <f>'03 A_Prevádzkové výdavky'!E5*Vstupy!$C$120</f>
        <v>100881.37179999999</v>
      </c>
      <c r="E15" s="122">
        <f>'03 A_Prevádzkové výdavky'!F5*Vstupy!$C$120</f>
        <v>100881.37179999999</v>
      </c>
      <c r="F15" s="122">
        <f>'03 A_Prevádzkové výdavky'!G5*Vstupy!$C$120</f>
        <v>100881.37179999999</v>
      </c>
      <c r="G15" s="122">
        <f>'03 A_Prevádzkové výdavky'!H5*Vstupy!$C$120</f>
        <v>115080.33899999999</v>
      </c>
      <c r="H15" s="122">
        <f>'03 A_Prevádzkové výdavky'!I5*Vstupy!$C$120</f>
        <v>115080.33899999999</v>
      </c>
      <c r="I15" s="122">
        <f>'03 A_Prevádzkové výdavky'!J5*Vstupy!$C$120</f>
        <v>115080.33899999999</v>
      </c>
      <c r="J15" s="122">
        <f>'03 A_Prevádzkové výdavky'!K5*Vstupy!$C$120</f>
        <v>115080.33899999999</v>
      </c>
      <c r="K15" s="122">
        <f>'03 A_Prevádzkové výdavky'!L5*Vstupy!$C$120</f>
        <v>115080.33899999999</v>
      </c>
      <c r="L15" s="122">
        <f>'03 A_Prevádzkové výdavky'!M5*Vstupy!$C$120</f>
        <v>115080.33899999999</v>
      </c>
      <c r="M15" s="122">
        <f>'03 A_Prevádzkové výdavky'!N5*Vstupy!$C$120</f>
        <v>115080.33899999999</v>
      </c>
      <c r="N15" s="122">
        <f>'03 A_Prevádzkové výdavky'!O5*Vstupy!$C$120</f>
        <v>115080.33899999999</v>
      </c>
      <c r="O15" s="122">
        <f>'03 A_Prevádzkové výdavky'!P5*Vstupy!$C$120</f>
        <v>115080.33899999999</v>
      </c>
      <c r="P15" s="122">
        <f>'03 A_Prevádzkové výdavky'!Q5*Vstupy!$C$120</f>
        <v>115080.33899999999</v>
      </c>
      <c r="Q15" s="122">
        <f>'03 A_Prevádzkové výdavky'!R5*Vstupy!$C$120</f>
        <v>115080.33899999999</v>
      </c>
      <c r="R15" s="122">
        <f>'03 A_Prevádzkové výdavky'!S5*Vstupy!$C$120</f>
        <v>115080.33899999999</v>
      </c>
      <c r="S15" s="122">
        <f>'03 A_Prevádzkové výdavky'!T5*Vstupy!$C$120</f>
        <v>115080.33899999999</v>
      </c>
      <c r="T15" s="122">
        <f>'03 A_Prevádzkové výdavky'!U5*Vstupy!$C$120</f>
        <v>115080.33899999999</v>
      </c>
      <c r="U15" s="122">
        <f>'03 A_Prevádzkové výdavky'!V5*Vstupy!$C$120</f>
        <v>115080.33899999999</v>
      </c>
      <c r="V15" s="122">
        <f>'03 A_Prevádzkové výdavky'!W5*Vstupy!$C$120</f>
        <v>115080.33899999999</v>
      </c>
      <c r="W15" s="122">
        <f>'03 A_Prevádzkové výdavky'!X5*Vstupy!$C$120</f>
        <v>115080.33899999999</v>
      </c>
      <c r="X15" s="122">
        <f>'03 A_Prevádzkové výdavky'!Y5*Vstupy!$C$120</f>
        <v>115080.33899999999</v>
      </c>
      <c r="Y15" s="122">
        <f>'03 A_Prevádzkové výdavky'!Z5*Vstupy!$C$120</f>
        <v>115080.33899999999</v>
      </c>
      <c r="Z15" s="122">
        <f>'03 A_Prevádzkové výdavky'!AA5*Vstupy!$C$120</f>
        <v>115080.33899999999</v>
      </c>
      <c r="AA15" s="122">
        <f>'03 A_Prevádzkové výdavky'!AB5*Vstupy!$C$120</f>
        <v>115080.33899999999</v>
      </c>
      <c r="AB15" s="122">
        <f>'03 A_Prevádzkové výdavky'!AC5*Vstupy!$C$120</f>
        <v>115080.33899999999</v>
      </c>
      <c r="AC15" s="122">
        <f>'03 A_Prevádzkové výdavky'!AD5*Vstupy!$C$120</f>
        <v>115080.33899999999</v>
      </c>
      <c r="AD15" s="122">
        <f>'03 A_Prevádzkové výdavky'!AE5*Vstupy!$C$120</f>
        <v>115080.33899999999</v>
      </c>
      <c r="AE15" s="122">
        <f>'03 A_Prevádzkové výdavky'!AF5*Vstupy!$C$120</f>
        <v>115080.33899999999</v>
      </c>
      <c r="AF15" s="122">
        <f>'03 A_Prevádzkové výdavky'!AG5*Vstupy!$C$120</f>
        <v>115080.33899999999</v>
      </c>
      <c r="AG15" s="122">
        <f>'03 A_Prevádzkové výdavky'!AH5*Vstupy!$C$120</f>
        <v>115080.33899999999</v>
      </c>
      <c r="AH15" s="122">
        <f>'03 A_Prevádzkové výdavky'!AI5*Vstupy!$C$120</f>
        <v>115080.33899999999</v>
      </c>
      <c r="AI15" s="122">
        <f>'03 A_Prevádzkové výdavky'!AJ5*Vstupy!$C$120</f>
        <v>115080.33899999999</v>
      </c>
      <c r="AJ15" s="122">
        <f>'03 A_Prevádzkové výdavky'!AK5*Vstupy!$C$120</f>
        <v>115080.33899999999</v>
      </c>
      <c r="AK15" s="122">
        <f>'03 A_Prevádzkové výdavky'!AL5*Vstupy!$C$120</f>
        <v>115080.33899999999</v>
      </c>
      <c r="AL15" s="122">
        <f>'03 A_Prevádzkové výdavky'!AM5*Vstupy!$C$120</f>
        <v>115080.33899999999</v>
      </c>
    </row>
    <row r="16" spans="2:38" x14ac:dyDescent="0.2">
      <c r="B16" s="31" t="s">
        <v>283</v>
      </c>
      <c r="C16" s="37">
        <f>SUM(D16:AL16)</f>
        <v>498160.58823529392</v>
      </c>
      <c r="D16" s="122">
        <f>'03 A_Prevádzkové výdavky'!E5*Vstupy!$D$120</f>
        <v>12610.392156862745</v>
      </c>
      <c r="E16" s="122">
        <f>'03 A_Prevádzkové výdavky'!F5*Vstupy!$D$120</f>
        <v>12610.392156862745</v>
      </c>
      <c r="F16" s="122">
        <f>'03 A_Prevádzkové výdavky'!G5*Vstupy!$D$120</f>
        <v>12610.392156862745</v>
      </c>
      <c r="G16" s="122">
        <f>'03 A_Prevádzkové výdavky'!H5*Vstupy!$D$120</f>
        <v>14385.294117647059</v>
      </c>
      <c r="H16" s="122">
        <f>'03 A_Prevádzkové výdavky'!I5*Vstupy!$D$120</f>
        <v>14385.294117647059</v>
      </c>
      <c r="I16" s="122">
        <f>'03 A_Prevádzkové výdavky'!J5*Vstupy!$D$120</f>
        <v>14385.294117647059</v>
      </c>
      <c r="J16" s="122">
        <f>'03 A_Prevádzkové výdavky'!K5*Vstupy!$D$120</f>
        <v>14385.294117647059</v>
      </c>
      <c r="K16" s="122">
        <f>'03 A_Prevádzkové výdavky'!L5*Vstupy!$D$120</f>
        <v>14385.294117647059</v>
      </c>
      <c r="L16" s="122">
        <f>'03 A_Prevádzkové výdavky'!M5*Vstupy!$D$120</f>
        <v>14385.294117647059</v>
      </c>
      <c r="M16" s="122">
        <f>'03 A_Prevádzkové výdavky'!N5*Vstupy!$D$120</f>
        <v>14385.294117647059</v>
      </c>
      <c r="N16" s="122">
        <f>'03 A_Prevádzkové výdavky'!O5*Vstupy!$D$120</f>
        <v>14385.294117647059</v>
      </c>
      <c r="O16" s="122">
        <f>'03 A_Prevádzkové výdavky'!P5*Vstupy!$D$120</f>
        <v>14385.294117647059</v>
      </c>
      <c r="P16" s="122">
        <f>'03 A_Prevádzkové výdavky'!Q5*Vstupy!$D$120</f>
        <v>14385.294117647059</v>
      </c>
      <c r="Q16" s="122">
        <f>'03 A_Prevádzkové výdavky'!R5*Vstupy!$D$120</f>
        <v>14385.294117647059</v>
      </c>
      <c r="R16" s="122">
        <f>'03 A_Prevádzkové výdavky'!S5*Vstupy!$D$120</f>
        <v>14385.294117647059</v>
      </c>
      <c r="S16" s="122">
        <f>'03 A_Prevádzkové výdavky'!T5*Vstupy!$D$120</f>
        <v>14385.294117647059</v>
      </c>
      <c r="T16" s="122">
        <f>'03 A_Prevádzkové výdavky'!U5*Vstupy!$D$120</f>
        <v>14385.294117647059</v>
      </c>
      <c r="U16" s="122">
        <f>'03 A_Prevádzkové výdavky'!V5*Vstupy!$D$120</f>
        <v>14385.294117647059</v>
      </c>
      <c r="V16" s="122">
        <f>'03 A_Prevádzkové výdavky'!W5*Vstupy!$D$120</f>
        <v>14385.294117647059</v>
      </c>
      <c r="W16" s="122">
        <f>'03 A_Prevádzkové výdavky'!X5*Vstupy!$D$120</f>
        <v>14385.294117647059</v>
      </c>
      <c r="X16" s="122">
        <f>'03 A_Prevádzkové výdavky'!Y5*Vstupy!$D$120</f>
        <v>14385.294117647059</v>
      </c>
      <c r="Y16" s="122">
        <f>'03 A_Prevádzkové výdavky'!Z5*Vstupy!$D$120</f>
        <v>14385.294117647059</v>
      </c>
      <c r="Z16" s="122">
        <f>'03 A_Prevádzkové výdavky'!AA5*Vstupy!$D$120</f>
        <v>14385.294117647059</v>
      </c>
      <c r="AA16" s="122">
        <f>'03 A_Prevádzkové výdavky'!AB5*Vstupy!$D$120</f>
        <v>14385.294117647059</v>
      </c>
      <c r="AB16" s="122">
        <f>'03 A_Prevádzkové výdavky'!AC5*Vstupy!$D$120</f>
        <v>14385.294117647059</v>
      </c>
      <c r="AC16" s="122">
        <f>'03 A_Prevádzkové výdavky'!AD5*Vstupy!$D$120</f>
        <v>14385.294117647059</v>
      </c>
      <c r="AD16" s="122">
        <f>'03 A_Prevádzkové výdavky'!AE5*Vstupy!$D$120</f>
        <v>14385.294117647059</v>
      </c>
      <c r="AE16" s="122">
        <f>'03 A_Prevádzkové výdavky'!AF5*Vstupy!$D$120</f>
        <v>14385.294117647059</v>
      </c>
      <c r="AF16" s="122">
        <f>'03 A_Prevádzkové výdavky'!AG5*Vstupy!$D$120</f>
        <v>14385.294117647059</v>
      </c>
      <c r="AG16" s="122">
        <f>'03 A_Prevádzkové výdavky'!AH5*Vstupy!$D$120</f>
        <v>14385.294117647059</v>
      </c>
      <c r="AH16" s="122">
        <f>'03 A_Prevádzkové výdavky'!AI5*Vstupy!$D$120</f>
        <v>14385.294117647059</v>
      </c>
      <c r="AI16" s="122">
        <f>'03 A_Prevádzkové výdavky'!AJ5*Vstupy!$D$120</f>
        <v>14385.294117647059</v>
      </c>
      <c r="AJ16" s="122">
        <f>'03 A_Prevádzkové výdavky'!AK5*Vstupy!$D$120</f>
        <v>14385.294117647059</v>
      </c>
      <c r="AK16" s="122">
        <f>'03 A_Prevádzkové výdavky'!AL5*Vstupy!$D$120</f>
        <v>14385.294117647059</v>
      </c>
      <c r="AL16" s="122">
        <f>'03 A_Prevádzkové výdavky'!AM5*Vstupy!$D$120</f>
        <v>14385.294117647059</v>
      </c>
    </row>
    <row r="17" spans="2:38" x14ac:dyDescent="0.2">
      <c r="B17" s="32" t="s">
        <v>35</v>
      </c>
      <c r="C17" s="123">
        <f>SUM(D17:AL17)</f>
        <v>4483375.5516352924</v>
      </c>
      <c r="D17" s="123">
        <f t="shared" ref="D17:AG17" si="10">SUM(D14:D16)</f>
        <v>113491.76395686273</v>
      </c>
      <c r="E17" s="123">
        <f t="shared" si="10"/>
        <v>113491.76395686273</v>
      </c>
      <c r="F17" s="123">
        <f t="shared" si="10"/>
        <v>113491.76395686273</v>
      </c>
      <c r="G17" s="123">
        <f t="shared" si="10"/>
        <v>129465.63311764706</v>
      </c>
      <c r="H17" s="123">
        <f t="shared" si="10"/>
        <v>129465.63311764706</v>
      </c>
      <c r="I17" s="123">
        <f t="shared" si="10"/>
        <v>129465.63311764706</v>
      </c>
      <c r="J17" s="123">
        <f t="shared" si="10"/>
        <v>129465.63311764706</v>
      </c>
      <c r="K17" s="123">
        <f t="shared" si="10"/>
        <v>129465.63311764706</v>
      </c>
      <c r="L17" s="123">
        <f t="shared" si="10"/>
        <v>129465.63311764706</v>
      </c>
      <c r="M17" s="123">
        <f t="shared" si="10"/>
        <v>129465.63311764706</v>
      </c>
      <c r="N17" s="123">
        <f t="shared" si="10"/>
        <v>129465.63311764706</v>
      </c>
      <c r="O17" s="123">
        <f t="shared" si="10"/>
        <v>129465.63311764706</v>
      </c>
      <c r="P17" s="123">
        <f t="shared" si="10"/>
        <v>129465.63311764706</v>
      </c>
      <c r="Q17" s="123">
        <f t="shared" si="10"/>
        <v>129465.63311764706</v>
      </c>
      <c r="R17" s="123">
        <f t="shared" si="10"/>
        <v>129465.63311764706</v>
      </c>
      <c r="S17" s="123">
        <f t="shared" si="10"/>
        <v>129465.63311764706</v>
      </c>
      <c r="T17" s="123">
        <f t="shared" si="10"/>
        <v>129465.63311764706</v>
      </c>
      <c r="U17" s="123">
        <f t="shared" si="10"/>
        <v>129465.63311764706</v>
      </c>
      <c r="V17" s="123">
        <f t="shared" si="10"/>
        <v>129465.63311764706</v>
      </c>
      <c r="W17" s="123">
        <f t="shared" si="10"/>
        <v>129465.63311764706</v>
      </c>
      <c r="X17" s="123">
        <f t="shared" si="10"/>
        <v>129465.63311764706</v>
      </c>
      <c r="Y17" s="123">
        <f t="shared" si="10"/>
        <v>129465.63311764706</v>
      </c>
      <c r="Z17" s="123">
        <f t="shared" si="10"/>
        <v>129465.63311764706</v>
      </c>
      <c r="AA17" s="123">
        <f t="shared" si="10"/>
        <v>129465.63311764706</v>
      </c>
      <c r="AB17" s="123">
        <f t="shared" si="10"/>
        <v>129465.63311764706</v>
      </c>
      <c r="AC17" s="123">
        <f t="shared" si="10"/>
        <v>129465.63311764706</v>
      </c>
      <c r="AD17" s="123">
        <f t="shared" si="10"/>
        <v>129465.63311764706</v>
      </c>
      <c r="AE17" s="123">
        <f t="shared" si="10"/>
        <v>129465.63311764706</v>
      </c>
      <c r="AF17" s="123">
        <f t="shared" si="10"/>
        <v>129465.63311764706</v>
      </c>
      <c r="AG17" s="123">
        <f t="shared" si="10"/>
        <v>129465.63311764706</v>
      </c>
      <c r="AH17" s="123">
        <f t="shared" ref="AH17:AL17" si="11">SUM(AH14:AH16)</f>
        <v>129465.63311764706</v>
      </c>
      <c r="AI17" s="123">
        <f t="shared" si="11"/>
        <v>129465.63311764706</v>
      </c>
      <c r="AJ17" s="123">
        <f t="shared" si="11"/>
        <v>129465.63311764706</v>
      </c>
      <c r="AK17" s="123">
        <f t="shared" si="11"/>
        <v>129465.63311764706</v>
      </c>
      <c r="AL17" s="123">
        <f t="shared" si="11"/>
        <v>129465.63311764706</v>
      </c>
    </row>
    <row r="20" spans="2:38" x14ac:dyDescent="0.2">
      <c r="B20" s="31"/>
      <c r="C20" s="31"/>
      <c r="D20" s="31" t="s">
        <v>10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</row>
    <row r="21" spans="2:38" x14ac:dyDescent="0.2">
      <c r="B21" s="32" t="s">
        <v>453</v>
      </c>
      <c r="C21" s="32"/>
      <c r="D21" s="33">
        <v>1</v>
      </c>
      <c r="E21" s="33">
        <v>2</v>
      </c>
      <c r="F21" s="33">
        <v>3</v>
      </c>
      <c r="G21" s="33">
        <v>4</v>
      </c>
      <c r="H21" s="33">
        <v>5</v>
      </c>
      <c r="I21" s="33">
        <v>6</v>
      </c>
      <c r="J21" s="33">
        <v>7</v>
      </c>
      <c r="K21" s="33">
        <v>8</v>
      </c>
      <c r="L21" s="33">
        <v>9</v>
      </c>
      <c r="M21" s="33">
        <v>10</v>
      </c>
      <c r="N21" s="33">
        <v>11</v>
      </c>
      <c r="O21" s="33">
        <v>12</v>
      </c>
      <c r="P21" s="33">
        <v>13</v>
      </c>
      <c r="Q21" s="33">
        <v>14</v>
      </c>
      <c r="R21" s="33">
        <v>15</v>
      </c>
      <c r="S21" s="33">
        <v>16</v>
      </c>
      <c r="T21" s="33">
        <v>17</v>
      </c>
      <c r="U21" s="33">
        <v>18</v>
      </c>
      <c r="V21" s="33">
        <v>19</v>
      </c>
      <c r="W21" s="33">
        <v>20</v>
      </c>
      <c r="X21" s="33">
        <v>21</v>
      </c>
      <c r="Y21" s="33">
        <v>22</v>
      </c>
      <c r="Z21" s="33">
        <v>23</v>
      </c>
      <c r="AA21" s="33">
        <v>24</v>
      </c>
      <c r="AB21" s="33">
        <v>25</v>
      </c>
      <c r="AC21" s="33">
        <v>26</v>
      </c>
      <c r="AD21" s="33">
        <v>27</v>
      </c>
      <c r="AE21" s="33">
        <v>28</v>
      </c>
      <c r="AF21" s="33">
        <v>29</v>
      </c>
      <c r="AG21" s="33">
        <v>30</v>
      </c>
      <c r="AH21" s="33">
        <v>31</v>
      </c>
      <c r="AI21" s="33">
        <v>32</v>
      </c>
      <c r="AJ21" s="33">
        <v>33</v>
      </c>
      <c r="AK21" s="33">
        <v>34</v>
      </c>
      <c r="AL21" s="33">
        <v>35</v>
      </c>
    </row>
    <row r="22" spans="2:38" x14ac:dyDescent="0.2">
      <c r="B22" s="34" t="s">
        <v>63</v>
      </c>
      <c r="C22" s="272" t="s">
        <v>9</v>
      </c>
      <c r="D22" s="35">
        <f t="shared" ref="D22:AG22" si="12">D4</f>
        <v>2025</v>
      </c>
      <c r="E22" s="35">
        <f t="shared" si="12"/>
        <v>2026</v>
      </c>
      <c r="F22" s="35">
        <f t="shared" si="12"/>
        <v>2027</v>
      </c>
      <c r="G22" s="35">
        <f t="shared" si="12"/>
        <v>2028</v>
      </c>
      <c r="H22" s="35">
        <f t="shared" si="12"/>
        <v>2029</v>
      </c>
      <c r="I22" s="35">
        <f t="shared" si="12"/>
        <v>2030</v>
      </c>
      <c r="J22" s="35">
        <f t="shared" si="12"/>
        <v>2031</v>
      </c>
      <c r="K22" s="35">
        <f t="shared" si="12"/>
        <v>2032</v>
      </c>
      <c r="L22" s="35">
        <f t="shared" si="12"/>
        <v>2033</v>
      </c>
      <c r="M22" s="35">
        <f t="shared" si="12"/>
        <v>2034</v>
      </c>
      <c r="N22" s="35">
        <f t="shared" si="12"/>
        <v>2035</v>
      </c>
      <c r="O22" s="35">
        <f t="shared" si="12"/>
        <v>2036</v>
      </c>
      <c r="P22" s="35">
        <f t="shared" si="12"/>
        <v>2037</v>
      </c>
      <c r="Q22" s="35">
        <f t="shared" si="12"/>
        <v>2038</v>
      </c>
      <c r="R22" s="35">
        <f t="shared" si="12"/>
        <v>2039</v>
      </c>
      <c r="S22" s="35">
        <f t="shared" si="12"/>
        <v>2040</v>
      </c>
      <c r="T22" s="35">
        <f t="shared" si="12"/>
        <v>2041</v>
      </c>
      <c r="U22" s="35">
        <f t="shared" si="12"/>
        <v>2042</v>
      </c>
      <c r="V22" s="35">
        <f t="shared" si="12"/>
        <v>2043</v>
      </c>
      <c r="W22" s="35">
        <f t="shared" si="12"/>
        <v>2044</v>
      </c>
      <c r="X22" s="35">
        <f t="shared" si="12"/>
        <v>2045</v>
      </c>
      <c r="Y22" s="35">
        <f t="shared" si="12"/>
        <v>2046</v>
      </c>
      <c r="Z22" s="35">
        <f t="shared" si="12"/>
        <v>2047</v>
      </c>
      <c r="AA22" s="35">
        <f t="shared" si="12"/>
        <v>2048</v>
      </c>
      <c r="AB22" s="35">
        <f t="shared" si="12"/>
        <v>2049</v>
      </c>
      <c r="AC22" s="35">
        <f t="shared" si="12"/>
        <v>2050</v>
      </c>
      <c r="AD22" s="35">
        <f t="shared" si="12"/>
        <v>2051</v>
      </c>
      <c r="AE22" s="35">
        <f t="shared" si="12"/>
        <v>2052</v>
      </c>
      <c r="AF22" s="35">
        <f t="shared" si="12"/>
        <v>2053</v>
      </c>
      <c r="AG22" s="35">
        <f t="shared" si="12"/>
        <v>2054</v>
      </c>
      <c r="AH22" s="35">
        <f t="shared" ref="AH22:AL22" si="13">AH4</f>
        <v>2055</v>
      </c>
      <c r="AI22" s="35">
        <f t="shared" si="13"/>
        <v>2056</v>
      </c>
      <c r="AJ22" s="35">
        <f t="shared" si="13"/>
        <v>2057</v>
      </c>
      <c r="AK22" s="35">
        <f t="shared" si="13"/>
        <v>2058</v>
      </c>
      <c r="AL22" s="35">
        <f t="shared" si="13"/>
        <v>2059</v>
      </c>
    </row>
    <row r="23" spans="2:38" x14ac:dyDescent="0.2">
      <c r="B23" s="31" t="s">
        <v>281</v>
      </c>
      <c r="C23" s="37">
        <f>SUM(D23:AL23)</f>
        <v>0</v>
      </c>
      <c r="D23" s="37">
        <f t="shared" ref="D23:AG23" si="14">D5-D14</f>
        <v>0</v>
      </c>
      <c r="E23" s="37">
        <f t="shared" si="14"/>
        <v>0</v>
      </c>
      <c r="F23" s="37">
        <f t="shared" si="14"/>
        <v>0</v>
      </c>
      <c r="G23" s="37">
        <f t="shared" si="14"/>
        <v>0</v>
      </c>
      <c r="H23" s="37">
        <f t="shared" si="14"/>
        <v>0</v>
      </c>
      <c r="I23" s="37">
        <f t="shared" si="14"/>
        <v>0</v>
      </c>
      <c r="J23" s="37">
        <f t="shared" si="14"/>
        <v>0</v>
      </c>
      <c r="K23" s="37">
        <f t="shared" si="14"/>
        <v>0</v>
      </c>
      <c r="L23" s="37">
        <f t="shared" si="14"/>
        <v>0</v>
      </c>
      <c r="M23" s="37">
        <f t="shared" si="14"/>
        <v>0</v>
      </c>
      <c r="N23" s="37">
        <f t="shared" si="14"/>
        <v>0</v>
      </c>
      <c r="O23" s="37">
        <f t="shared" si="14"/>
        <v>0</v>
      </c>
      <c r="P23" s="37">
        <f t="shared" si="14"/>
        <v>0</v>
      </c>
      <c r="Q23" s="37">
        <f t="shared" si="14"/>
        <v>0</v>
      </c>
      <c r="R23" s="37">
        <f t="shared" si="14"/>
        <v>0</v>
      </c>
      <c r="S23" s="37">
        <f t="shared" si="14"/>
        <v>0</v>
      </c>
      <c r="T23" s="37">
        <f t="shared" si="14"/>
        <v>0</v>
      </c>
      <c r="U23" s="37">
        <f t="shared" si="14"/>
        <v>0</v>
      </c>
      <c r="V23" s="37">
        <f t="shared" si="14"/>
        <v>0</v>
      </c>
      <c r="W23" s="37">
        <f t="shared" si="14"/>
        <v>0</v>
      </c>
      <c r="X23" s="37">
        <f t="shared" si="14"/>
        <v>0</v>
      </c>
      <c r="Y23" s="37">
        <f t="shared" si="14"/>
        <v>0</v>
      </c>
      <c r="Z23" s="37">
        <f t="shared" si="14"/>
        <v>0</v>
      </c>
      <c r="AA23" s="37">
        <f t="shared" si="14"/>
        <v>0</v>
      </c>
      <c r="AB23" s="37">
        <f t="shared" si="14"/>
        <v>0</v>
      </c>
      <c r="AC23" s="37">
        <f t="shared" si="14"/>
        <v>0</v>
      </c>
      <c r="AD23" s="37">
        <f t="shared" si="14"/>
        <v>0</v>
      </c>
      <c r="AE23" s="37">
        <f t="shared" si="14"/>
        <v>0</v>
      </c>
      <c r="AF23" s="37">
        <f t="shared" si="14"/>
        <v>0</v>
      </c>
      <c r="AG23" s="37">
        <f t="shared" si="14"/>
        <v>0</v>
      </c>
      <c r="AH23" s="37">
        <f t="shared" ref="AH23:AL23" si="15">AH5-AH14</f>
        <v>0</v>
      </c>
      <c r="AI23" s="37">
        <f t="shared" si="15"/>
        <v>0</v>
      </c>
      <c r="AJ23" s="37">
        <f t="shared" si="15"/>
        <v>0</v>
      </c>
      <c r="AK23" s="37">
        <f t="shared" si="15"/>
        <v>0</v>
      </c>
      <c r="AL23" s="37">
        <f t="shared" si="15"/>
        <v>0</v>
      </c>
    </row>
    <row r="24" spans="2:38" x14ac:dyDescent="0.2">
      <c r="B24" s="31" t="s">
        <v>282</v>
      </c>
      <c r="C24" s="37">
        <f>SUM(D24:AL24)</f>
        <v>-454366.95040000026</v>
      </c>
      <c r="D24" s="37">
        <f t="shared" ref="D24:AG24" si="16">D6-D15</f>
        <v>0</v>
      </c>
      <c r="E24" s="37">
        <f t="shared" si="16"/>
        <v>0</v>
      </c>
      <c r="F24" s="37">
        <f t="shared" si="16"/>
        <v>0</v>
      </c>
      <c r="G24" s="37">
        <f t="shared" si="16"/>
        <v>-14198.967199999999</v>
      </c>
      <c r="H24" s="37">
        <f t="shared" si="16"/>
        <v>-14198.967199999999</v>
      </c>
      <c r="I24" s="37">
        <f t="shared" si="16"/>
        <v>-14198.967199999999</v>
      </c>
      <c r="J24" s="37">
        <f t="shared" si="16"/>
        <v>-14198.967199999999</v>
      </c>
      <c r="K24" s="37">
        <f t="shared" si="16"/>
        <v>-14198.967199999999</v>
      </c>
      <c r="L24" s="37">
        <f t="shared" si="16"/>
        <v>-14198.967199999999</v>
      </c>
      <c r="M24" s="37">
        <f t="shared" si="16"/>
        <v>-14198.967199999999</v>
      </c>
      <c r="N24" s="37">
        <f t="shared" si="16"/>
        <v>-14198.967199999999</v>
      </c>
      <c r="O24" s="37">
        <f t="shared" si="16"/>
        <v>-14198.967199999999</v>
      </c>
      <c r="P24" s="37">
        <f t="shared" si="16"/>
        <v>-14198.967199999999</v>
      </c>
      <c r="Q24" s="37">
        <f t="shared" si="16"/>
        <v>-14198.967199999999</v>
      </c>
      <c r="R24" s="37">
        <f t="shared" si="16"/>
        <v>-14198.967199999999</v>
      </c>
      <c r="S24" s="37">
        <f t="shared" si="16"/>
        <v>-14198.967199999999</v>
      </c>
      <c r="T24" s="37">
        <f t="shared" si="16"/>
        <v>-14198.967199999999</v>
      </c>
      <c r="U24" s="37">
        <f t="shared" si="16"/>
        <v>-14198.967199999999</v>
      </c>
      <c r="V24" s="37">
        <f t="shared" si="16"/>
        <v>-14198.967199999999</v>
      </c>
      <c r="W24" s="37">
        <f t="shared" si="16"/>
        <v>-14198.967199999999</v>
      </c>
      <c r="X24" s="37">
        <f t="shared" si="16"/>
        <v>-14198.967199999999</v>
      </c>
      <c r="Y24" s="37">
        <f t="shared" si="16"/>
        <v>-14198.967199999999</v>
      </c>
      <c r="Z24" s="37">
        <f t="shared" si="16"/>
        <v>-14198.967199999999</v>
      </c>
      <c r="AA24" s="37">
        <f t="shared" si="16"/>
        <v>-14198.967199999999</v>
      </c>
      <c r="AB24" s="37">
        <f t="shared" si="16"/>
        <v>-14198.967199999999</v>
      </c>
      <c r="AC24" s="37">
        <f t="shared" si="16"/>
        <v>-14198.967199999999</v>
      </c>
      <c r="AD24" s="37">
        <f t="shared" si="16"/>
        <v>-14198.967199999999</v>
      </c>
      <c r="AE24" s="37">
        <f t="shared" si="16"/>
        <v>-14198.967199999999</v>
      </c>
      <c r="AF24" s="37">
        <f t="shared" si="16"/>
        <v>-14198.967199999999</v>
      </c>
      <c r="AG24" s="37">
        <f t="shared" si="16"/>
        <v>-14198.967199999999</v>
      </c>
      <c r="AH24" s="37">
        <f t="shared" ref="AH24:AL24" si="17">AH6-AH15</f>
        <v>-14198.967199999999</v>
      </c>
      <c r="AI24" s="37">
        <f t="shared" si="17"/>
        <v>-14198.967199999999</v>
      </c>
      <c r="AJ24" s="37">
        <f t="shared" si="17"/>
        <v>-14198.967199999999</v>
      </c>
      <c r="AK24" s="37">
        <f t="shared" si="17"/>
        <v>-14198.967199999999</v>
      </c>
      <c r="AL24" s="37">
        <f t="shared" si="17"/>
        <v>-14198.967199999999</v>
      </c>
    </row>
    <row r="25" spans="2:38" x14ac:dyDescent="0.2">
      <c r="B25" s="31" t="s">
        <v>283</v>
      </c>
      <c r="C25" s="37">
        <f>SUM(D25:AL25)</f>
        <v>-56796.862745098071</v>
      </c>
      <c r="D25" s="37">
        <f t="shared" ref="D25:AG25" si="18">D7-D16</f>
        <v>0</v>
      </c>
      <c r="E25" s="37">
        <f t="shared" si="18"/>
        <v>0</v>
      </c>
      <c r="F25" s="37">
        <f t="shared" si="18"/>
        <v>0</v>
      </c>
      <c r="G25" s="37">
        <f t="shared" si="18"/>
        <v>-1774.9019607843147</v>
      </c>
      <c r="H25" s="37">
        <f t="shared" si="18"/>
        <v>-1774.9019607843147</v>
      </c>
      <c r="I25" s="37">
        <f t="shared" si="18"/>
        <v>-1774.9019607843147</v>
      </c>
      <c r="J25" s="37">
        <f t="shared" si="18"/>
        <v>-1774.9019607843147</v>
      </c>
      <c r="K25" s="37">
        <f t="shared" si="18"/>
        <v>-1774.9019607843147</v>
      </c>
      <c r="L25" s="37">
        <f t="shared" si="18"/>
        <v>-1774.9019607843147</v>
      </c>
      <c r="M25" s="37">
        <f t="shared" si="18"/>
        <v>-1774.9019607843147</v>
      </c>
      <c r="N25" s="37">
        <f t="shared" si="18"/>
        <v>-1774.9019607843147</v>
      </c>
      <c r="O25" s="37">
        <f t="shared" si="18"/>
        <v>-1774.9019607843147</v>
      </c>
      <c r="P25" s="37">
        <f t="shared" si="18"/>
        <v>-1774.9019607843147</v>
      </c>
      <c r="Q25" s="37">
        <f t="shared" si="18"/>
        <v>-1774.9019607843147</v>
      </c>
      <c r="R25" s="37">
        <f t="shared" si="18"/>
        <v>-1774.9019607843147</v>
      </c>
      <c r="S25" s="37">
        <f t="shared" si="18"/>
        <v>-1774.9019607843147</v>
      </c>
      <c r="T25" s="37">
        <f t="shared" si="18"/>
        <v>-1774.9019607843147</v>
      </c>
      <c r="U25" s="37">
        <f t="shared" si="18"/>
        <v>-1774.9019607843147</v>
      </c>
      <c r="V25" s="37">
        <f t="shared" si="18"/>
        <v>-1774.9019607843147</v>
      </c>
      <c r="W25" s="37">
        <f t="shared" si="18"/>
        <v>-1774.9019607843147</v>
      </c>
      <c r="X25" s="37">
        <f t="shared" si="18"/>
        <v>-1774.9019607843147</v>
      </c>
      <c r="Y25" s="37">
        <f t="shared" si="18"/>
        <v>-1774.9019607843147</v>
      </c>
      <c r="Z25" s="37">
        <f t="shared" si="18"/>
        <v>-1774.9019607843147</v>
      </c>
      <c r="AA25" s="37">
        <f t="shared" si="18"/>
        <v>-1774.9019607843147</v>
      </c>
      <c r="AB25" s="37">
        <f t="shared" si="18"/>
        <v>-1774.9019607843147</v>
      </c>
      <c r="AC25" s="37">
        <f t="shared" si="18"/>
        <v>-1774.9019607843147</v>
      </c>
      <c r="AD25" s="37">
        <f t="shared" si="18"/>
        <v>-1774.9019607843147</v>
      </c>
      <c r="AE25" s="37">
        <f t="shared" si="18"/>
        <v>-1774.9019607843147</v>
      </c>
      <c r="AF25" s="37">
        <f t="shared" si="18"/>
        <v>-1774.9019607843147</v>
      </c>
      <c r="AG25" s="37">
        <f t="shared" si="18"/>
        <v>-1774.9019607843147</v>
      </c>
      <c r="AH25" s="37">
        <f t="shared" ref="AH25:AL25" si="19">AH7-AH16</f>
        <v>-1774.9019607843147</v>
      </c>
      <c r="AI25" s="37">
        <f t="shared" si="19"/>
        <v>-1774.9019607843147</v>
      </c>
      <c r="AJ25" s="37">
        <f t="shared" si="19"/>
        <v>-1774.9019607843147</v>
      </c>
      <c r="AK25" s="37">
        <f t="shared" si="19"/>
        <v>-1774.9019607843147</v>
      </c>
      <c r="AL25" s="37">
        <f t="shared" si="19"/>
        <v>-1774.9019607843147</v>
      </c>
    </row>
    <row r="26" spans="2:38" x14ac:dyDescent="0.2">
      <c r="B26" s="163" t="s">
        <v>59</v>
      </c>
      <c r="C26" s="164">
        <f>SUM(D26:AL26)</f>
        <v>-511163.81314509781</v>
      </c>
      <c r="D26" s="165">
        <f t="shared" ref="D26:AG26" si="20">SUM(D23:D25)</f>
        <v>0</v>
      </c>
      <c r="E26" s="164">
        <f t="shared" si="20"/>
        <v>0</v>
      </c>
      <c r="F26" s="164">
        <f t="shared" si="20"/>
        <v>0</v>
      </c>
      <c r="G26" s="164">
        <f t="shared" si="20"/>
        <v>-15973.869160784314</v>
      </c>
      <c r="H26" s="164">
        <f t="shared" si="20"/>
        <v>-15973.869160784314</v>
      </c>
      <c r="I26" s="164">
        <f t="shared" si="20"/>
        <v>-15973.869160784314</v>
      </c>
      <c r="J26" s="164">
        <f t="shared" si="20"/>
        <v>-15973.869160784314</v>
      </c>
      <c r="K26" s="164">
        <f t="shared" si="20"/>
        <v>-15973.869160784314</v>
      </c>
      <c r="L26" s="164">
        <f t="shared" si="20"/>
        <v>-15973.869160784314</v>
      </c>
      <c r="M26" s="164">
        <f t="shared" si="20"/>
        <v>-15973.869160784314</v>
      </c>
      <c r="N26" s="164">
        <f t="shared" si="20"/>
        <v>-15973.869160784314</v>
      </c>
      <c r="O26" s="164">
        <f t="shared" si="20"/>
        <v>-15973.869160784314</v>
      </c>
      <c r="P26" s="164">
        <f t="shared" si="20"/>
        <v>-15973.869160784314</v>
      </c>
      <c r="Q26" s="164">
        <f t="shared" si="20"/>
        <v>-15973.869160784314</v>
      </c>
      <c r="R26" s="164">
        <f t="shared" si="20"/>
        <v>-15973.869160784314</v>
      </c>
      <c r="S26" s="164">
        <f t="shared" si="20"/>
        <v>-15973.869160784314</v>
      </c>
      <c r="T26" s="164">
        <f t="shared" si="20"/>
        <v>-15973.869160784314</v>
      </c>
      <c r="U26" s="164">
        <f t="shared" si="20"/>
        <v>-15973.869160784314</v>
      </c>
      <c r="V26" s="164">
        <f t="shared" si="20"/>
        <v>-15973.869160784314</v>
      </c>
      <c r="W26" s="164">
        <f t="shared" si="20"/>
        <v>-15973.869160784314</v>
      </c>
      <c r="X26" s="164">
        <f t="shared" si="20"/>
        <v>-15973.869160784314</v>
      </c>
      <c r="Y26" s="164">
        <f t="shared" si="20"/>
        <v>-15973.869160784314</v>
      </c>
      <c r="Z26" s="164">
        <f t="shared" si="20"/>
        <v>-15973.869160784314</v>
      </c>
      <c r="AA26" s="164">
        <f t="shared" si="20"/>
        <v>-15973.869160784314</v>
      </c>
      <c r="AB26" s="164">
        <f t="shared" si="20"/>
        <v>-15973.869160784314</v>
      </c>
      <c r="AC26" s="164">
        <f t="shared" si="20"/>
        <v>-15973.869160784314</v>
      </c>
      <c r="AD26" s="164">
        <f t="shared" si="20"/>
        <v>-15973.869160784314</v>
      </c>
      <c r="AE26" s="164">
        <f t="shared" si="20"/>
        <v>-15973.869160784314</v>
      </c>
      <c r="AF26" s="164">
        <f t="shared" si="20"/>
        <v>-15973.869160784314</v>
      </c>
      <c r="AG26" s="164">
        <f t="shared" si="20"/>
        <v>-15973.869160784314</v>
      </c>
      <c r="AH26" s="164">
        <f t="shared" ref="AH26:AL26" si="21">SUM(AH23:AH25)</f>
        <v>-15973.869160784314</v>
      </c>
      <c r="AI26" s="164">
        <f t="shared" si="21"/>
        <v>-15973.869160784314</v>
      </c>
      <c r="AJ26" s="164">
        <f t="shared" si="21"/>
        <v>-15973.869160784314</v>
      </c>
      <c r="AK26" s="164">
        <f t="shared" si="21"/>
        <v>-15973.869160784314</v>
      </c>
      <c r="AL26" s="164">
        <f t="shared" si="21"/>
        <v>-15973.869160784314</v>
      </c>
    </row>
    <row r="29" spans="2:38" x14ac:dyDescent="0.2">
      <c r="B29" s="124"/>
      <c r="C29" s="31"/>
      <c r="D29" s="31" t="s">
        <v>10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</row>
    <row r="30" spans="2:38" x14ac:dyDescent="0.2">
      <c r="B30" s="124"/>
      <c r="C30" s="32"/>
      <c r="D30" s="33">
        <v>1</v>
      </c>
      <c r="E30" s="33">
        <v>2</v>
      </c>
      <c r="F30" s="33">
        <v>3</v>
      </c>
      <c r="G30" s="33">
        <v>4</v>
      </c>
      <c r="H30" s="33">
        <v>5</v>
      </c>
      <c r="I30" s="33">
        <v>6</v>
      </c>
      <c r="J30" s="33">
        <v>7</v>
      </c>
      <c r="K30" s="33">
        <v>8</v>
      </c>
      <c r="L30" s="33">
        <v>9</v>
      </c>
      <c r="M30" s="33">
        <v>10</v>
      </c>
      <c r="N30" s="33">
        <v>11</v>
      </c>
      <c r="O30" s="33">
        <v>12</v>
      </c>
      <c r="P30" s="33">
        <v>13</v>
      </c>
      <c r="Q30" s="33">
        <v>14</v>
      </c>
      <c r="R30" s="33">
        <v>15</v>
      </c>
      <c r="S30" s="33">
        <v>16</v>
      </c>
      <c r="T30" s="33">
        <v>17</v>
      </c>
      <c r="U30" s="33">
        <v>18</v>
      </c>
      <c r="V30" s="33">
        <v>19</v>
      </c>
      <c r="W30" s="33">
        <v>20</v>
      </c>
      <c r="X30" s="33">
        <v>21</v>
      </c>
      <c r="Y30" s="33">
        <v>22</v>
      </c>
      <c r="Z30" s="33">
        <v>23</v>
      </c>
      <c r="AA30" s="33">
        <v>24</v>
      </c>
      <c r="AB30" s="33">
        <v>25</v>
      </c>
      <c r="AC30" s="33">
        <v>26</v>
      </c>
      <c r="AD30" s="33">
        <v>27</v>
      </c>
      <c r="AE30" s="33">
        <v>28</v>
      </c>
      <c r="AF30" s="33">
        <v>29</v>
      </c>
      <c r="AG30" s="33">
        <v>30</v>
      </c>
      <c r="AH30" s="33">
        <v>31</v>
      </c>
      <c r="AI30" s="33">
        <v>32</v>
      </c>
      <c r="AJ30" s="33">
        <v>33</v>
      </c>
      <c r="AK30" s="33">
        <v>34</v>
      </c>
      <c r="AL30" s="33">
        <v>35</v>
      </c>
    </row>
    <row r="31" spans="2:38" ht="22.5" x14ac:dyDescent="0.2">
      <c r="B31" s="166" t="s">
        <v>454</v>
      </c>
      <c r="C31" s="272" t="s">
        <v>9</v>
      </c>
      <c r="D31" s="35">
        <f t="shared" ref="D31:AG31" si="22">D4</f>
        <v>2025</v>
      </c>
      <c r="E31" s="35">
        <f t="shared" si="22"/>
        <v>2026</v>
      </c>
      <c r="F31" s="35">
        <f t="shared" si="22"/>
        <v>2027</v>
      </c>
      <c r="G31" s="35">
        <f t="shared" si="22"/>
        <v>2028</v>
      </c>
      <c r="H31" s="35">
        <f t="shared" si="22"/>
        <v>2029</v>
      </c>
      <c r="I31" s="35">
        <f t="shared" si="22"/>
        <v>2030</v>
      </c>
      <c r="J31" s="35">
        <f t="shared" si="22"/>
        <v>2031</v>
      </c>
      <c r="K31" s="35">
        <f t="shared" si="22"/>
        <v>2032</v>
      </c>
      <c r="L31" s="35">
        <f t="shared" si="22"/>
        <v>2033</v>
      </c>
      <c r="M31" s="35">
        <f t="shared" si="22"/>
        <v>2034</v>
      </c>
      <c r="N31" s="35">
        <f t="shared" si="22"/>
        <v>2035</v>
      </c>
      <c r="O31" s="35">
        <f t="shared" si="22"/>
        <v>2036</v>
      </c>
      <c r="P31" s="35">
        <f t="shared" si="22"/>
        <v>2037</v>
      </c>
      <c r="Q31" s="35">
        <f t="shared" si="22"/>
        <v>2038</v>
      </c>
      <c r="R31" s="35">
        <f t="shared" si="22"/>
        <v>2039</v>
      </c>
      <c r="S31" s="35">
        <f t="shared" si="22"/>
        <v>2040</v>
      </c>
      <c r="T31" s="35">
        <f t="shared" si="22"/>
        <v>2041</v>
      </c>
      <c r="U31" s="35">
        <f t="shared" si="22"/>
        <v>2042</v>
      </c>
      <c r="V31" s="35">
        <f t="shared" si="22"/>
        <v>2043</v>
      </c>
      <c r="W31" s="35">
        <f t="shared" si="22"/>
        <v>2044</v>
      </c>
      <c r="X31" s="35">
        <f t="shared" si="22"/>
        <v>2045</v>
      </c>
      <c r="Y31" s="35">
        <f t="shared" si="22"/>
        <v>2046</v>
      </c>
      <c r="Z31" s="35">
        <f t="shared" si="22"/>
        <v>2047</v>
      </c>
      <c r="AA31" s="35">
        <f t="shared" si="22"/>
        <v>2048</v>
      </c>
      <c r="AB31" s="35">
        <f t="shared" si="22"/>
        <v>2049</v>
      </c>
      <c r="AC31" s="35">
        <f t="shared" si="22"/>
        <v>2050</v>
      </c>
      <c r="AD31" s="35">
        <f t="shared" si="22"/>
        <v>2051</v>
      </c>
      <c r="AE31" s="35">
        <f t="shared" si="22"/>
        <v>2052</v>
      </c>
      <c r="AF31" s="35">
        <f t="shared" si="22"/>
        <v>2053</v>
      </c>
      <c r="AG31" s="35">
        <f t="shared" si="22"/>
        <v>2054</v>
      </c>
      <c r="AH31" s="35">
        <f t="shared" ref="AH31:AL31" si="23">AH4</f>
        <v>2055</v>
      </c>
      <c r="AI31" s="35">
        <f t="shared" si="23"/>
        <v>2056</v>
      </c>
      <c r="AJ31" s="35">
        <f t="shared" si="23"/>
        <v>2057</v>
      </c>
      <c r="AK31" s="35">
        <f t="shared" si="23"/>
        <v>2058</v>
      </c>
      <c r="AL31" s="35">
        <f t="shared" si="23"/>
        <v>2059</v>
      </c>
    </row>
    <row r="32" spans="2:38" x14ac:dyDescent="0.2">
      <c r="B32" s="31" t="s">
        <v>281</v>
      </c>
      <c r="C32" s="37">
        <f>SUM(D32:AL32)</f>
        <v>0</v>
      </c>
      <c r="D32" s="37">
        <f>D23*Parametre!C125</f>
        <v>0</v>
      </c>
      <c r="E32" s="37">
        <f>E23*Parametre!D125</f>
        <v>0</v>
      </c>
      <c r="F32" s="37">
        <f>F23*Parametre!E125</f>
        <v>0</v>
      </c>
      <c r="G32" s="37">
        <f>G23*Parametre!F125</f>
        <v>0</v>
      </c>
      <c r="H32" s="37">
        <f>H23*Parametre!G125</f>
        <v>0</v>
      </c>
      <c r="I32" s="37">
        <f>I23*Parametre!H125</f>
        <v>0</v>
      </c>
      <c r="J32" s="37">
        <f>J23*Parametre!I125</f>
        <v>0</v>
      </c>
      <c r="K32" s="37">
        <f>K23*Parametre!J125</f>
        <v>0</v>
      </c>
      <c r="L32" s="37">
        <f>L23*Parametre!K125</f>
        <v>0</v>
      </c>
      <c r="M32" s="37">
        <f>M23*Parametre!L125</f>
        <v>0</v>
      </c>
      <c r="N32" s="37">
        <f>N23*Parametre!M125</f>
        <v>0</v>
      </c>
      <c r="O32" s="37">
        <f>O23*Parametre!N125</f>
        <v>0</v>
      </c>
      <c r="P32" s="37">
        <f>P23*Parametre!O125</f>
        <v>0</v>
      </c>
      <c r="Q32" s="37">
        <f>Q23*Parametre!P125</f>
        <v>0</v>
      </c>
      <c r="R32" s="37">
        <f>R23*Parametre!Q125</f>
        <v>0</v>
      </c>
      <c r="S32" s="37">
        <f>S23*Parametre!R125</f>
        <v>0</v>
      </c>
      <c r="T32" s="37">
        <f>T23*Parametre!S125</f>
        <v>0</v>
      </c>
      <c r="U32" s="37">
        <f>U23*Parametre!T125</f>
        <v>0</v>
      </c>
      <c r="V32" s="37">
        <f>V23*Parametre!U125</f>
        <v>0</v>
      </c>
      <c r="W32" s="37">
        <f>W23*Parametre!V125</f>
        <v>0</v>
      </c>
      <c r="X32" s="37">
        <f>X23*Parametre!W125</f>
        <v>0</v>
      </c>
      <c r="Y32" s="37">
        <f>Y23*Parametre!X125</f>
        <v>0</v>
      </c>
      <c r="Z32" s="37">
        <f>Z23*Parametre!Y125</f>
        <v>0</v>
      </c>
      <c r="AA32" s="37">
        <f>AA23*Parametre!Z125</f>
        <v>0</v>
      </c>
      <c r="AB32" s="37">
        <f>AB23*Parametre!AA125</f>
        <v>0</v>
      </c>
      <c r="AC32" s="37">
        <f>AC23*Parametre!AB125</f>
        <v>0</v>
      </c>
      <c r="AD32" s="37">
        <f>AD23*Parametre!AC125</f>
        <v>0</v>
      </c>
      <c r="AE32" s="37">
        <f>AE23*Parametre!AD125</f>
        <v>0</v>
      </c>
      <c r="AF32" s="37">
        <f>AF23*Parametre!AE125</f>
        <v>0</v>
      </c>
      <c r="AG32" s="37">
        <f>AG23*Parametre!AF125</f>
        <v>0</v>
      </c>
      <c r="AH32" s="37">
        <f>AH23*Parametre!AG125</f>
        <v>0</v>
      </c>
      <c r="AI32" s="37">
        <f>AI23*Parametre!AH125</f>
        <v>0</v>
      </c>
      <c r="AJ32" s="37">
        <f>AJ23*Parametre!AI125</f>
        <v>0</v>
      </c>
      <c r="AK32" s="37">
        <f>AK23*Parametre!AJ125</f>
        <v>0</v>
      </c>
      <c r="AL32" s="37">
        <f>AL23*Parametre!AK125</f>
        <v>0</v>
      </c>
    </row>
    <row r="33" spans="2:38" x14ac:dyDescent="0.2">
      <c r="B33" s="31" t="s">
        <v>282</v>
      </c>
      <c r="C33" s="37">
        <f>SUM(D33:AL33)</f>
        <v>-251546.06312175994</v>
      </c>
      <c r="D33" s="37">
        <f>D24*Parametre!C126</f>
        <v>0</v>
      </c>
      <c r="E33" s="37">
        <f>E24*Parametre!D126</f>
        <v>0</v>
      </c>
      <c r="F33" s="37">
        <f>F24*Parametre!E126</f>
        <v>0</v>
      </c>
      <c r="G33" s="37">
        <f>G24*Parametre!F126</f>
        <v>-6521.585634959999</v>
      </c>
      <c r="H33" s="37">
        <f>H24*Parametre!G126</f>
        <v>-6609.6192315999997</v>
      </c>
      <c r="I33" s="37">
        <f>I24*Parametre!H126</f>
        <v>-6704.7523118399995</v>
      </c>
      <c r="J33" s="37">
        <f>J24*Parametre!I126</f>
        <v>-6789.9461150400002</v>
      </c>
      <c r="K33" s="37">
        <f>K24*Parametre!J126</f>
        <v>-6876.55981496</v>
      </c>
      <c r="L33" s="37">
        <f>L24*Parametre!K126</f>
        <v>-6958.913824719999</v>
      </c>
      <c r="M33" s="37">
        <f>M24*Parametre!L126</f>
        <v>-7042.6877311999997</v>
      </c>
      <c r="N33" s="37">
        <f>N24*Parametre!M126</f>
        <v>-7127.8815343999995</v>
      </c>
      <c r="O33" s="37">
        <f>O24*Parametre!N126</f>
        <v>-7213.0753375999993</v>
      </c>
      <c r="P33" s="37">
        <f>P24*Parametre!O126</f>
        <v>-7299.6890375199991</v>
      </c>
      <c r="Q33" s="37">
        <f>Q24*Parametre!P126</f>
        <v>-7387.722634159999</v>
      </c>
      <c r="R33" s="37">
        <f>R24*Parametre!Q126</f>
        <v>-7475.7562307999988</v>
      </c>
      <c r="S33" s="37">
        <f>S24*Parametre!R126</f>
        <v>-7565.2097241600004</v>
      </c>
      <c r="T33" s="37">
        <f>T24*Parametre!S126</f>
        <v>-7656.0831142399993</v>
      </c>
      <c r="U33" s="37">
        <f>U24*Parametre!T126</f>
        <v>-7748.3764010399991</v>
      </c>
      <c r="V33" s="37">
        <f>V24*Parametre!U126</f>
        <v>-7829.3105140799998</v>
      </c>
      <c r="W33" s="37">
        <f>W24*Parametre!V126</f>
        <v>-7910.2446271199997</v>
      </c>
      <c r="X33" s="37">
        <f>X24*Parametre!W126</f>
        <v>-7992.5986368799986</v>
      </c>
      <c r="Y33" s="37">
        <f>Y24*Parametre!X126</f>
        <v>-8076.3725433599993</v>
      </c>
      <c r="Z33" s="37">
        <f>Z24*Parametre!Y126</f>
        <v>-8160.1464498399991</v>
      </c>
      <c r="AA33" s="37">
        <f>AA24*Parametre!Z126</f>
        <v>-8245.3402530399999</v>
      </c>
      <c r="AB33" s="37">
        <f>AB24*Parametre!AA126</f>
        <v>-8330.5340562399997</v>
      </c>
      <c r="AC33" s="37">
        <f>AC24*Parametre!AB126</f>
        <v>-8417.1477561599986</v>
      </c>
      <c r="AD33" s="37">
        <f>AD24*Parametre!AC126</f>
        <v>-8505.1813527999984</v>
      </c>
      <c r="AE33" s="37">
        <f>AE24*Parametre!AD126</f>
        <v>-8593.2149494399982</v>
      </c>
      <c r="AF33" s="37">
        <f>AF24*Parametre!AE126</f>
        <v>-8675.5689591999999</v>
      </c>
      <c r="AG33" s="37">
        <f>AG24*Parametre!AF126</f>
        <v>-8759.3428656799988</v>
      </c>
      <c r="AH33" s="37">
        <f>AH24*Parametre!AG126</f>
        <v>-8843.1167721599995</v>
      </c>
      <c r="AI33" s="37">
        <f>AI24*Parametre!AH126</f>
        <v>-8928.3105753599993</v>
      </c>
      <c r="AJ33" s="37">
        <f>AJ24*Parametre!AI126</f>
        <v>-9013.5043785599992</v>
      </c>
      <c r="AK33" s="37">
        <f>AK24*Parametre!AJ126</f>
        <v>-9100.1180784799999</v>
      </c>
      <c r="AL33" s="37">
        <f>AL24*Parametre!AK126</f>
        <v>-9188.1516751199997</v>
      </c>
    </row>
    <row r="34" spans="2:38" x14ac:dyDescent="0.2">
      <c r="B34" s="31" t="s">
        <v>283</v>
      </c>
      <c r="C34" s="37">
        <f>SUM(D34:AL34)</f>
        <v>-4534.8745098039244</v>
      </c>
      <c r="D34" s="37">
        <f>D25*Parametre!C127</f>
        <v>0</v>
      </c>
      <c r="E34" s="37">
        <f>E25*Parametre!D127</f>
        <v>0</v>
      </c>
      <c r="F34" s="37">
        <f>F25*Parametre!E127</f>
        <v>0</v>
      </c>
      <c r="G34" s="37">
        <f>G25*Parametre!F127</f>
        <v>-117.49850980392162</v>
      </c>
      <c r="H34" s="37">
        <f>H25*Parametre!G127</f>
        <v>-119.09592156862753</v>
      </c>
      <c r="I34" s="37">
        <f>I25*Parametre!H127</f>
        <v>-120.87082352941182</v>
      </c>
      <c r="J34" s="37">
        <f>J25*Parametre!I127</f>
        <v>-122.46823529411773</v>
      </c>
      <c r="K34" s="37">
        <f>K25*Parametre!J127</f>
        <v>-124.0656470588236</v>
      </c>
      <c r="L34" s="37">
        <f>L25*Parametre!K127</f>
        <v>-125.48556862745104</v>
      </c>
      <c r="M34" s="37">
        <f>M25*Parametre!L127</f>
        <v>-126.90549019607849</v>
      </c>
      <c r="N34" s="37">
        <f>N25*Parametre!M127</f>
        <v>-128.50290196078438</v>
      </c>
      <c r="O34" s="37">
        <f>O25*Parametre!N127</f>
        <v>-130.10031372549028</v>
      </c>
      <c r="P34" s="37">
        <f>P25*Parametre!O127</f>
        <v>-131.69772549019615</v>
      </c>
      <c r="Q34" s="37">
        <f>Q25*Parametre!P127</f>
        <v>-133.29513725490204</v>
      </c>
      <c r="R34" s="37">
        <f>R25*Parametre!Q127</f>
        <v>-134.89254901960791</v>
      </c>
      <c r="S34" s="37">
        <f>S25*Parametre!R127</f>
        <v>-136.48996078431381</v>
      </c>
      <c r="T34" s="37">
        <f>T25*Parametre!S127</f>
        <v>-138.08737254901968</v>
      </c>
      <c r="U34" s="37">
        <f>U25*Parametre!T127</f>
        <v>-139.68478431372557</v>
      </c>
      <c r="V34" s="37">
        <f>V25*Parametre!U127</f>
        <v>-141.10470588235302</v>
      </c>
      <c r="W34" s="37">
        <f>W25*Parametre!V127</f>
        <v>-142.52462745098046</v>
      </c>
      <c r="X34" s="37">
        <f>X25*Parametre!W127</f>
        <v>-143.94454901960793</v>
      </c>
      <c r="Y34" s="37">
        <f>Y25*Parametre!X127</f>
        <v>-145.36447058823538</v>
      </c>
      <c r="Z34" s="37">
        <f>Z25*Parametre!Y127</f>
        <v>-146.96188235294125</v>
      </c>
      <c r="AA34" s="37">
        <f>AA25*Parametre!Z127</f>
        <v>-148.55929411764714</v>
      </c>
      <c r="AB34" s="37">
        <f>AB25*Parametre!AA127</f>
        <v>-150.15670588235301</v>
      </c>
      <c r="AC34" s="37">
        <f>AC25*Parametre!AB127</f>
        <v>-151.75411764705893</v>
      </c>
      <c r="AD34" s="37">
        <f>AD25*Parametre!AC127</f>
        <v>-153.3515294117648</v>
      </c>
      <c r="AE34" s="37">
        <f>AE25*Parametre!AD127</f>
        <v>-154.94894117647067</v>
      </c>
      <c r="AF34" s="37">
        <f>AF25*Parametre!AE127</f>
        <v>-156.36886274509811</v>
      </c>
      <c r="AG34" s="37">
        <f>AG25*Parametre!AF127</f>
        <v>-157.78878431372559</v>
      </c>
      <c r="AH34" s="37">
        <f>AH25*Parametre!AG127</f>
        <v>-159.38619607843148</v>
      </c>
      <c r="AI34" s="37">
        <f>AI25*Parametre!AH127</f>
        <v>-160.98360784313735</v>
      </c>
      <c r="AJ34" s="37">
        <f>AJ25*Parametre!AI127</f>
        <v>-162.58101960784322</v>
      </c>
      <c r="AK34" s="37">
        <f>AK25*Parametre!AJ127</f>
        <v>-164.17843137254911</v>
      </c>
      <c r="AL34" s="37">
        <f>AL25*Parametre!AK127</f>
        <v>-165.77584313725498</v>
      </c>
    </row>
    <row r="35" spans="2:38" x14ac:dyDescent="0.2">
      <c r="B35" s="160" t="s">
        <v>284</v>
      </c>
      <c r="C35" s="161">
        <f>SUM(D35:AL35)</f>
        <v>-256080.93763156387</v>
      </c>
      <c r="D35" s="162">
        <f t="shared" ref="D35:AG35" si="24">SUM(D32:D34)</f>
        <v>0</v>
      </c>
      <c r="E35" s="161">
        <f t="shared" si="24"/>
        <v>0</v>
      </c>
      <c r="F35" s="161">
        <f t="shared" si="24"/>
        <v>0</v>
      </c>
      <c r="G35" s="161">
        <f t="shared" si="24"/>
        <v>-6639.0841447639204</v>
      </c>
      <c r="H35" s="161">
        <f t="shared" si="24"/>
        <v>-6728.7151531686268</v>
      </c>
      <c r="I35" s="161">
        <f t="shared" si="24"/>
        <v>-6825.6231353694111</v>
      </c>
      <c r="J35" s="161">
        <f t="shared" si="24"/>
        <v>-6912.4143503341184</v>
      </c>
      <c r="K35" s="161">
        <f t="shared" si="24"/>
        <v>-7000.6254620188238</v>
      </c>
      <c r="L35" s="161">
        <f t="shared" si="24"/>
        <v>-7084.3993933474503</v>
      </c>
      <c r="M35" s="161">
        <f t="shared" si="24"/>
        <v>-7169.5932213960778</v>
      </c>
      <c r="N35" s="161">
        <f t="shared" si="24"/>
        <v>-7256.3844363607841</v>
      </c>
      <c r="O35" s="161">
        <f t="shared" si="24"/>
        <v>-7343.1756513254895</v>
      </c>
      <c r="P35" s="161">
        <f t="shared" si="24"/>
        <v>-7431.386763010195</v>
      </c>
      <c r="Q35" s="161">
        <f t="shared" si="24"/>
        <v>-7521.0177714149013</v>
      </c>
      <c r="R35" s="161">
        <f t="shared" si="24"/>
        <v>-7610.6487798196067</v>
      </c>
      <c r="S35" s="161">
        <f t="shared" si="24"/>
        <v>-7701.699684944314</v>
      </c>
      <c r="T35" s="161">
        <f t="shared" si="24"/>
        <v>-7794.1704867890194</v>
      </c>
      <c r="U35" s="161">
        <f t="shared" si="24"/>
        <v>-7888.0611853537248</v>
      </c>
      <c r="V35" s="161">
        <f t="shared" si="24"/>
        <v>-7970.4152199623531</v>
      </c>
      <c r="W35" s="161">
        <f t="shared" si="24"/>
        <v>-8052.7692545709797</v>
      </c>
      <c r="X35" s="161">
        <f t="shared" si="24"/>
        <v>-8136.5431858996062</v>
      </c>
      <c r="Y35" s="161">
        <f t="shared" si="24"/>
        <v>-8221.7370139482355</v>
      </c>
      <c r="Z35" s="161">
        <f t="shared" si="24"/>
        <v>-8307.10833219294</v>
      </c>
      <c r="AA35" s="161">
        <f t="shared" si="24"/>
        <v>-8393.8995471576472</v>
      </c>
      <c r="AB35" s="161">
        <f t="shared" si="24"/>
        <v>-8480.6907621223527</v>
      </c>
      <c r="AC35" s="161">
        <f t="shared" si="24"/>
        <v>-8568.9018738070572</v>
      </c>
      <c r="AD35" s="161">
        <f t="shared" si="24"/>
        <v>-8658.5328822117626</v>
      </c>
      <c r="AE35" s="161">
        <f t="shared" si="24"/>
        <v>-8748.1638906164681</v>
      </c>
      <c r="AF35" s="161">
        <f t="shared" si="24"/>
        <v>-8831.9378219450973</v>
      </c>
      <c r="AG35" s="161">
        <f t="shared" si="24"/>
        <v>-8917.1316499937238</v>
      </c>
      <c r="AH35" s="161">
        <f t="shared" ref="AH35:AL35" si="25">SUM(AH32:AH34)</f>
        <v>-9002.5029682384302</v>
      </c>
      <c r="AI35" s="161">
        <f t="shared" si="25"/>
        <v>-9089.2941832031374</v>
      </c>
      <c r="AJ35" s="161">
        <f t="shared" si="25"/>
        <v>-9176.0853981678429</v>
      </c>
      <c r="AK35" s="161">
        <f t="shared" si="25"/>
        <v>-9264.2965098525492</v>
      </c>
      <c r="AL35" s="161">
        <f t="shared" si="25"/>
        <v>-9353.9275182572546</v>
      </c>
    </row>
  </sheetData>
  <sheetProtection algorithmName="SHA-512" hashValue="VmlB9rHJGbsfmQSu8vYnCg4Fe2//Ev1AG5w8YaAJ22vAYWqNlhUJIC5yKvFkvBo01qulgvNJKS/8YASXkeAMMw==" saltValue="fbepdDQ01cw5isO25cXvBQ==" spinCount="100000" sheet="1" objects="1" scenarios="1"/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8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CCFF99"/>
  </sheetPr>
  <dimension ref="B2:AL47"/>
  <sheetViews>
    <sheetView zoomScale="90" zoomScaleNormal="90" workbookViewId="0"/>
  </sheetViews>
  <sheetFormatPr defaultColWidth="9.140625" defaultRowHeight="11.25" x14ac:dyDescent="0.2"/>
  <cols>
    <col min="1" max="1" width="3.85546875" style="259" customWidth="1"/>
    <col min="2" max="2" width="41.28515625" style="259" bestFit="1" customWidth="1"/>
    <col min="3" max="3" width="12.5703125" style="259" bestFit="1" customWidth="1"/>
    <col min="4" max="38" width="11.140625" style="259" bestFit="1" customWidth="1"/>
    <col min="39" max="16384" width="9.140625" style="259"/>
  </cols>
  <sheetData>
    <row r="2" spans="2:38" x14ac:dyDescent="0.2">
      <c r="B2" s="260"/>
      <c r="C2" s="260"/>
      <c r="D2" s="260" t="s">
        <v>10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</row>
    <row r="3" spans="2:38" x14ac:dyDescent="0.2">
      <c r="B3" s="261" t="s">
        <v>455</v>
      </c>
      <c r="C3" s="261"/>
      <c r="D3" s="262">
        <v>1</v>
      </c>
      <c r="E3" s="262">
        <v>2</v>
      </c>
      <c r="F3" s="262">
        <v>3</v>
      </c>
      <c r="G3" s="262">
        <v>4</v>
      </c>
      <c r="H3" s="262">
        <v>5</v>
      </c>
      <c r="I3" s="262">
        <v>6</v>
      </c>
      <c r="J3" s="262">
        <v>7</v>
      </c>
      <c r="K3" s="262">
        <v>8</v>
      </c>
      <c r="L3" s="262">
        <v>9</v>
      </c>
      <c r="M3" s="262">
        <v>10</v>
      </c>
      <c r="N3" s="262">
        <v>11</v>
      </c>
      <c r="O3" s="262">
        <v>12</v>
      </c>
      <c r="P3" s="262">
        <v>13</v>
      </c>
      <c r="Q3" s="262">
        <v>14</v>
      </c>
      <c r="R3" s="262">
        <v>15</v>
      </c>
      <c r="S3" s="262">
        <v>16</v>
      </c>
      <c r="T3" s="262">
        <v>17</v>
      </c>
      <c r="U3" s="262">
        <v>18</v>
      </c>
      <c r="V3" s="262">
        <v>19</v>
      </c>
      <c r="W3" s="262">
        <v>20</v>
      </c>
      <c r="X3" s="262">
        <v>21</v>
      </c>
      <c r="Y3" s="262">
        <v>22</v>
      </c>
      <c r="Z3" s="262">
        <v>23</v>
      </c>
      <c r="AA3" s="262">
        <v>24</v>
      </c>
      <c r="AB3" s="262">
        <v>25</v>
      </c>
      <c r="AC3" s="262">
        <v>26</v>
      </c>
      <c r="AD3" s="262">
        <v>27</v>
      </c>
      <c r="AE3" s="262">
        <v>28</v>
      </c>
      <c r="AF3" s="262">
        <v>29</v>
      </c>
      <c r="AG3" s="262">
        <v>30</v>
      </c>
      <c r="AH3" s="262">
        <v>31</v>
      </c>
      <c r="AI3" s="262">
        <v>32</v>
      </c>
      <c r="AJ3" s="262">
        <v>33</v>
      </c>
      <c r="AK3" s="262">
        <v>34</v>
      </c>
      <c r="AL3" s="262">
        <v>35</v>
      </c>
    </row>
    <row r="4" spans="2:38" x14ac:dyDescent="0.2">
      <c r="B4" s="263" t="s">
        <v>33</v>
      </c>
      <c r="C4" s="264" t="s">
        <v>9</v>
      </c>
      <c r="D4" s="265">
        <v>2024</v>
      </c>
      <c r="E4" s="265">
        <f>D4+$D$3</f>
        <v>2025</v>
      </c>
      <c r="F4" s="265">
        <f t="shared" ref="F4:AG4" si="0">E4+$D$3</f>
        <v>2026</v>
      </c>
      <c r="G4" s="265">
        <f t="shared" si="0"/>
        <v>2027</v>
      </c>
      <c r="H4" s="265">
        <f t="shared" si="0"/>
        <v>2028</v>
      </c>
      <c r="I4" s="265">
        <f t="shared" si="0"/>
        <v>2029</v>
      </c>
      <c r="J4" s="265">
        <f t="shared" si="0"/>
        <v>2030</v>
      </c>
      <c r="K4" s="265">
        <f t="shared" si="0"/>
        <v>2031</v>
      </c>
      <c r="L4" s="265">
        <f t="shared" si="0"/>
        <v>2032</v>
      </c>
      <c r="M4" s="265">
        <f t="shared" si="0"/>
        <v>2033</v>
      </c>
      <c r="N4" s="265">
        <f t="shared" si="0"/>
        <v>2034</v>
      </c>
      <c r="O4" s="265">
        <f t="shared" si="0"/>
        <v>2035</v>
      </c>
      <c r="P4" s="265">
        <f t="shared" si="0"/>
        <v>2036</v>
      </c>
      <c r="Q4" s="265">
        <f t="shared" si="0"/>
        <v>2037</v>
      </c>
      <c r="R4" s="265">
        <f t="shared" si="0"/>
        <v>2038</v>
      </c>
      <c r="S4" s="265">
        <f t="shared" si="0"/>
        <v>2039</v>
      </c>
      <c r="T4" s="265">
        <f t="shared" si="0"/>
        <v>2040</v>
      </c>
      <c r="U4" s="265">
        <f t="shared" si="0"/>
        <v>2041</v>
      </c>
      <c r="V4" s="265">
        <f t="shared" si="0"/>
        <v>2042</v>
      </c>
      <c r="W4" s="265">
        <f t="shared" si="0"/>
        <v>2043</v>
      </c>
      <c r="X4" s="265">
        <f t="shared" si="0"/>
        <v>2044</v>
      </c>
      <c r="Y4" s="265">
        <f t="shared" si="0"/>
        <v>2045</v>
      </c>
      <c r="Z4" s="265">
        <f t="shared" si="0"/>
        <v>2046</v>
      </c>
      <c r="AA4" s="265">
        <f t="shared" si="0"/>
        <v>2047</v>
      </c>
      <c r="AB4" s="265">
        <f t="shared" si="0"/>
        <v>2048</v>
      </c>
      <c r="AC4" s="265">
        <f t="shared" si="0"/>
        <v>2049</v>
      </c>
      <c r="AD4" s="265">
        <f t="shared" si="0"/>
        <v>2050</v>
      </c>
      <c r="AE4" s="265">
        <f t="shared" si="0"/>
        <v>2051</v>
      </c>
      <c r="AF4" s="265">
        <f t="shared" si="0"/>
        <v>2052</v>
      </c>
      <c r="AG4" s="265">
        <f t="shared" si="0"/>
        <v>2053</v>
      </c>
      <c r="AH4" s="265">
        <f t="shared" ref="AH4" si="1">AG4+$D$3</f>
        <v>2054</v>
      </c>
      <c r="AI4" s="265">
        <f t="shared" ref="AI4" si="2">AH4+$D$3</f>
        <v>2055</v>
      </c>
      <c r="AJ4" s="265">
        <f t="shared" ref="AJ4" si="3">AI4+$D$3</f>
        <v>2056</v>
      </c>
      <c r="AK4" s="265">
        <f t="shared" ref="AK4" si="4">AJ4+$D$3</f>
        <v>2057</v>
      </c>
      <c r="AL4" s="265">
        <f t="shared" ref="AL4" si="5">AK4+$D$3</f>
        <v>2058</v>
      </c>
    </row>
    <row r="5" spans="2:38" x14ac:dyDescent="0.2">
      <c r="B5" s="260" t="s">
        <v>400</v>
      </c>
      <c r="C5" s="266">
        <f t="shared" ref="C5:C11" si="6">SUM(D5:AL5)</f>
        <v>595</v>
      </c>
      <c r="D5" s="267">
        <v>0</v>
      </c>
      <c r="E5" s="267">
        <v>1</v>
      </c>
      <c r="F5" s="267">
        <v>2</v>
      </c>
      <c r="G5" s="267">
        <v>3</v>
      </c>
      <c r="H5" s="267">
        <v>4</v>
      </c>
      <c r="I5" s="267">
        <v>5</v>
      </c>
      <c r="J5" s="267">
        <v>6</v>
      </c>
      <c r="K5" s="267">
        <v>7</v>
      </c>
      <c r="L5" s="267">
        <v>8</v>
      </c>
      <c r="M5" s="267">
        <v>9</v>
      </c>
      <c r="N5" s="267">
        <v>10</v>
      </c>
      <c r="O5" s="267">
        <v>11</v>
      </c>
      <c r="P5" s="267">
        <v>12</v>
      </c>
      <c r="Q5" s="267">
        <v>13</v>
      </c>
      <c r="R5" s="267">
        <v>14</v>
      </c>
      <c r="S5" s="267">
        <v>15</v>
      </c>
      <c r="T5" s="267">
        <v>16</v>
      </c>
      <c r="U5" s="267">
        <v>17</v>
      </c>
      <c r="V5" s="267">
        <v>18</v>
      </c>
      <c r="W5" s="267">
        <v>19</v>
      </c>
      <c r="X5" s="267">
        <v>20</v>
      </c>
      <c r="Y5" s="267">
        <v>21</v>
      </c>
      <c r="Z5" s="267">
        <v>22</v>
      </c>
      <c r="AA5" s="267">
        <v>23</v>
      </c>
      <c r="AB5" s="267">
        <v>24</v>
      </c>
      <c r="AC5" s="267">
        <v>25</v>
      </c>
      <c r="AD5" s="267">
        <v>26</v>
      </c>
      <c r="AE5" s="267">
        <v>27</v>
      </c>
      <c r="AF5" s="267">
        <v>28</v>
      </c>
      <c r="AG5" s="267">
        <v>29</v>
      </c>
      <c r="AH5" s="267">
        <v>30</v>
      </c>
      <c r="AI5" s="267">
        <v>31</v>
      </c>
      <c r="AJ5" s="267">
        <v>32</v>
      </c>
      <c r="AK5" s="267">
        <v>33</v>
      </c>
      <c r="AL5" s="267">
        <v>34</v>
      </c>
    </row>
    <row r="6" spans="2:38" x14ac:dyDescent="0.2">
      <c r="B6" s="260" t="s">
        <v>401</v>
      </c>
      <c r="C6" s="266">
        <f t="shared" si="6"/>
        <v>4151702192.586</v>
      </c>
      <c r="D6" s="267">
        <f>'10_A Bezpečnosť (cesty)'!D50*Vstupy!$C$121</f>
        <v>87786190.540287182</v>
      </c>
      <c r="E6" s="267">
        <f>'10_A Bezpečnosť (cesty)'!E50*Vstupy!$C$121</f>
        <v>89278555.779472068</v>
      </c>
      <c r="F6" s="267">
        <f>'10_A Bezpečnosť (cesty)'!F50*Vstupy!$C$121</f>
        <v>90796291.227723077</v>
      </c>
      <c r="G6" s="267">
        <f>'10_A Bezpečnosť (cesty)'!G50*Vstupy!$C$121</f>
        <v>92339828.178594351</v>
      </c>
      <c r="H6" s="267">
        <f>'10_A Bezpečnosť (cesty)'!H50*Vstupy!$C$121</f>
        <v>93909605.257630453</v>
      </c>
      <c r="I6" s="267">
        <f>'10_A Bezpečnosť (cesty)'!I50*Vstupy!$C$121</f>
        <v>95506068.547010154</v>
      </c>
      <c r="J6" s="267">
        <f>'10_A Bezpečnosť (cesty)'!J50*Vstupy!$C$121</f>
        <v>97129671.712309331</v>
      </c>
      <c r="K6" s="267">
        <f>'10_A Bezpečnosť (cesty)'!K50*Vstupy!$C$121</f>
        <v>98780876.131418586</v>
      </c>
      <c r="L6" s="267">
        <f>'10_A Bezpečnosť (cesty)'!L50*Vstupy!$C$121</f>
        <v>100460151.02565269</v>
      </c>
      <c r="M6" s="267">
        <f>'10_A Bezpečnosť (cesty)'!M50*Vstupy!$C$121</f>
        <v>102167973.59308876</v>
      </c>
      <c r="N6" s="267">
        <f>'10_A Bezpečnosť (cesty)'!N50*Vstupy!$C$121</f>
        <v>103904829.14417127</v>
      </c>
      <c r="O6" s="267">
        <f>'10_A Bezpečnosť (cesty)'!O50*Vstupy!$C$121</f>
        <v>105671211.23962216</v>
      </c>
      <c r="P6" s="267">
        <f>'10_A Bezpečnosť (cesty)'!P50*Vstupy!$C$121</f>
        <v>107467621.83069573</v>
      </c>
      <c r="Q6" s="267">
        <f>'10_A Bezpečnosť (cesty)'!Q50*Vstupy!$C$121</f>
        <v>109294571.40181756</v>
      </c>
      <c r="R6" s="267">
        <f>'10_A Bezpečnosť (cesty)'!R50*Vstupy!$C$121</f>
        <v>111152579.11564843</v>
      </c>
      <c r="S6" s="267">
        <f>'10_A Bezpečnosť (cesty)'!S50*Vstupy!$C$121</f>
        <v>113042172.96061446</v>
      </c>
      <c r="T6" s="267">
        <f>'10_A Bezpečnosť (cesty)'!T50*Vstupy!$C$121</f>
        <v>114963889.90094489</v>
      </c>
      <c r="U6" s="267">
        <f>'10_A Bezpečnosť (cesty)'!U50*Vstupy!$C$121</f>
        <v>116918276.02926095</v>
      </c>
      <c r="V6" s="267">
        <f>'10_A Bezpečnosť (cesty)'!V50*Vstupy!$C$121</f>
        <v>118905886.72175837</v>
      </c>
      <c r="W6" s="267">
        <f>'10_A Bezpečnosť (cesty)'!W50*Vstupy!$C$121</f>
        <v>120927286.79602823</v>
      </c>
      <c r="X6" s="267">
        <f>'10_A Bezpečnosť (cesty)'!X50*Vstupy!$C$121</f>
        <v>122983050.67156069</v>
      </c>
      <c r="Y6" s="267">
        <f>'10_A Bezpečnosť (cesty)'!Y50*Vstupy!$C$121</f>
        <v>125073762.53297722</v>
      </c>
      <c r="Z6" s="267">
        <f>'10_A Bezpečnosť (cesty)'!Z50*Vstupy!$C$121</f>
        <v>127200016.49603781</v>
      </c>
      <c r="AA6" s="267">
        <f>'10_A Bezpečnosť (cesty)'!AA50*Vstupy!$C$121</f>
        <v>129362416.77647045</v>
      </c>
      <c r="AB6" s="267">
        <f>'10_A Bezpečnosť (cesty)'!AB50*Vstupy!$C$121</f>
        <v>131561577.86167043</v>
      </c>
      <c r="AC6" s="267">
        <f>'10_A Bezpečnosť (cesty)'!AC50*Vstupy!$C$121</f>
        <v>133798124.68531883</v>
      </c>
      <c r="AD6" s="267">
        <f>'10_A Bezpečnosť (cesty)'!AD50*Vstupy!$C$121</f>
        <v>136072692.80496922</v>
      </c>
      <c r="AE6" s="267">
        <f>'10_A Bezpečnosť (cesty)'!AE50*Vstupy!$C$121</f>
        <v>138385928.5826537</v>
      </c>
      <c r="AF6" s="267">
        <f>'10_A Bezpečnosť (cesty)'!AF50*Vstupy!$C$121</f>
        <v>140738489.36855879</v>
      </c>
      <c r="AG6" s="267">
        <f>'10_A Bezpečnosť (cesty)'!AG50*Vstupy!$C$121</f>
        <v>143131043.68782428</v>
      </c>
      <c r="AH6" s="267">
        <f>'10_A Bezpečnosť (cesty)'!AH50*Vstupy!$C$121</f>
        <v>145564271.43051729</v>
      </c>
      <c r="AI6" s="267">
        <f>'10_A Bezpečnosť (cesty)'!AI50*Vstupy!$C$121</f>
        <v>148038864.04483604</v>
      </c>
      <c r="AJ6" s="267">
        <f>'10_A Bezpečnosť (cesty)'!AJ50*Vstupy!$C$121</f>
        <v>150555524.73359823</v>
      </c>
      <c r="AK6" s="267">
        <f>'10_A Bezpečnosť (cesty)'!AK50*Vstupy!$C$121</f>
        <v>153114968.65406939</v>
      </c>
      <c r="AL6" s="267">
        <f>'10_A Bezpečnosť (cesty)'!AL50*Vstupy!$C$121</f>
        <v>155717923.12118855</v>
      </c>
    </row>
    <row r="7" spans="2:38" x14ac:dyDescent="0.2">
      <c r="B7" s="260" t="s">
        <v>402</v>
      </c>
      <c r="C7" s="266">
        <f t="shared" si="6"/>
        <v>2264474104.5619307</v>
      </c>
      <c r="D7" s="267">
        <f>'10_A Bezpečnosť (cesty)'!D50*Vstupy!$D$121</f>
        <v>47881458.253824905</v>
      </c>
      <c r="E7" s="267">
        <f>'10_A Bezpečnosť (cesty)'!E50*Vstupy!$D$121</f>
        <v>48695443.044139929</v>
      </c>
      <c r="F7" s="267">
        <f>'10_A Bezpečnosť (cesty)'!F50*Vstupy!$D$121</f>
        <v>49523265.575890303</v>
      </c>
      <c r="G7" s="267">
        <f>'10_A Bezpečnosť (cesty)'!G50*Vstupy!$D$121</f>
        <v>50365161.090680428</v>
      </c>
      <c r="H7" s="267">
        <f>'10_A Bezpečnosť (cesty)'!H50*Vstupy!$D$121</f>
        <v>51221368.829222001</v>
      </c>
      <c r="I7" s="267">
        <f>'10_A Bezpečnosť (cesty)'!I50*Vstupy!$D$121</f>
        <v>52092132.099318765</v>
      </c>
      <c r="J7" s="267">
        <f>'10_A Bezpečnosť (cesty)'!J50*Vstupy!$D$121</f>
        <v>52977698.345007181</v>
      </c>
      <c r="K7" s="267">
        <f>'10_A Bezpečnosť (cesty)'!K50*Vstupy!$D$121</f>
        <v>53878319.216872305</v>
      </c>
      <c r="L7" s="267">
        <f>'10_A Bezpečnosť (cesty)'!L50*Vstupy!$D$121</f>
        <v>54794250.643559121</v>
      </c>
      <c r="M7" s="267">
        <f>'10_A Bezpečnosť (cesty)'!M50*Vstupy!$D$121</f>
        <v>55725752.90449962</v>
      </c>
      <c r="N7" s="267">
        <f>'10_A Bezpečnosť (cesty)'!N50*Vstupy!$D$121</f>
        <v>56673090.703876108</v>
      </c>
      <c r="O7" s="267">
        <f>'10_A Bezpečnosť (cesty)'!O50*Vstupy!$D$121</f>
        <v>57636533.245841995</v>
      </c>
      <c r="P7" s="267">
        <f>'10_A Bezpečnosť (cesty)'!P50*Vstupy!$D$121</f>
        <v>58616354.311021306</v>
      </c>
      <c r="Q7" s="267">
        <f>'10_A Bezpečnosť (cesty)'!Q50*Vstupy!$D$121</f>
        <v>59612832.334308662</v>
      </c>
      <c r="R7" s="267">
        <f>'10_A Bezpečnosť (cesty)'!R50*Vstupy!$D$121</f>
        <v>60626250.483991899</v>
      </c>
      <c r="S7" s="267">
        <f>'10_A Bezpečnosť (cesty)'!S50*Vstupy!$D$121</f>
        <v>61656896.742219761</v>
      </c>
      <c r="T7" s="267">
        <f>'10_A Bezpečnosť (cesty)'!T50*Vstupy!$D$121</f>
        <v>62705063.986837484</v>
      </c>
      <c r="U7" s="267">
        <f>'10_A Bezpečnosť (cesty)'!U50*Vstupy!$D$121</f>
        <v>63771050.074613728</v>
      </c>
      <c r="V7" s="267">
        <f>'10_A Bezpečnosť (cesty)'!V50*Vstupy!$D$121</f>
        <v>64855157.925882146</v>
      </c>
      <c r="W7" s="267">
        <f>'10_A Bezpečnosť (cesty)'!W50*Vstupy!$D$121</f>
        <v>65957695.61062213</v>
      </c>
      <c r="X7" s="267">
        <f>'10_A Bezpečnosť (cesty)'!X50*Vstupy!$D$121</f>
        <v>67078976.436002694</v>
      </c>
      <c r="Y7" s="267">
        <f>'10_A Bezpečnosť (cesty)'!Y50*Vstupy!$D$121</f>
        <v>68219319.03541474</v>
      </c>
      <c r="Z7" s="267">
        <f>'10_A Bezpečnosť (cesty)'!Z50*Vstupy!$D$121</f>
        <v>69379047.45901677</v>
      </c>
      <c r="AA7" s="267">
        <f>'10_A Bezpečnosť (cesty)'!AA50*Vstupy!$D$121</f>
        <v>70558491.265820056</v>
      </c>
      <c r="AB7" s="267">
        <f>'10_A Bezpečnosť (cesty)'!AB50*Vstupy!$D$121</f>
        <v>71757985.617339</v>
      </c>
      <c r="AC7" s="267">
        <f>'10_A Bezpečnosť (cesty)'!AC50*Vstupy!$D$121</f>
        <v>72977871.372833759</v>
      </c>
      <c r="AD7" s="267">
        <f>'10_A Bezpečnosť (cesty)'!AD50*Vstupy!$D$121</f>
        <v>74218495.186171904</v>
      </c>
      <c r="AE7" s="267">
        <f>'10_A Bezpečnosť (cesty)'!AE50*Vstupy!$D$121</f>
        <v>75480209.604336843</v>
      </c>
      <c r="AF7" s="267">
        <f>'10_A Bezpečnosť (cesty)'!AF50*Vstupy!$D$121</f>
        <v>76763373.167610556</v>
      </c>
      <c r="AG7" s="267">
        <f>'10_A Bezpečnosť (cesty)'!AG50*Vstupy!$D$121</f>
        <v>78068350.511459932</v>
      </c>
      <c r="AH7" s="267">
        <f>'10_A Bezpečnosť (cesty)'!AH50*Vstupy!$D$121</f>
        <v>79395512.470154732</v>
      </c>
      <c r="AI7" s="267">
        <f>'10_A Bezpečnosť (cesty)'!AI50*Vstupy!$D$121</f>
        <v>80745236.182147354</v>
      </c>
      <c r="AJ7" s="267">
        <f>'10_A Bezpečnosť (cesty)'!AJ50*Vstupy!$D$121</f>
        <v>82117905.197243854</v>
      </c>
      <c r="AK7" s="267">
        <f>'10_A Bezpečnosť (cesty)'!AK50*Vstupy!$D$121</f>
        <v>83513909.585596979</v>
      </c>
      <c r="AL7" s="267">
        <f>'10_A Bezpečnosť (cesty)'!AL50*Vstupy!$D$121</f>
        <v>84933646.048552126</v>
      </c>
    </row>
    <row r="8" spans="2:38" x14ac:dyDescent="0.2">
      <c r="B8" s="260" t="s">
        <v>403</v>
      </c>
      <c r="C8" s="266">
        <f t="shared" si="6"/>
        <v>0</v>
      </c>
      <c r="D8" s="267">
        <v>0</v>
      </c>
      <c r="E8" s="267">
        <v>0</v>
      </c>
      <c r="F8" s="267">
        <v>0</v>
      </c>
      <c r="G8" s="267">
        <v>0</v>
      </c>
      <c r="H8" s="267">
        <v>0</v>
      </c>
      <c r="I8" s="267">
        <v>0</v>
      </c>
      <c r="J8" s="267">
        <v>0</v>
      </c>
      <c r="K8" s="267">
        <v>0</v>
      </c>
      <c r="L8" s="267">
        <v>0</v>
      </c>
      <c r="M8" s="267">
        <v>0</v>
      </c>
      <c r="N8" s="267">
        <v>0</v>
      </c>
      <c r="O8" s="267">
        <v>0</v>
      </c>
      <c r="P8" s="267">
        <v>0</v>
      </c>
      <c r="Q8" s="267">
        <v>0</v>
      </c>
      <c r="R8" s="267">
        <v>0</v>
      </c>
      <c r="S8" s="267">
        <v>0</v>
      </c>
      <c r="T8" s="267">
        <v>0</v>
      </c>
      <c r="U8" s="267">
        <v>0</v>
      </c>
      <c r="V8" s="267">
        <v>0</v>
      </c>
      <c r="W8" s="267">
        <v>0</v>
      </c>
      <c r="X8" s="267">
        <v>0</v>
      </c>
      <c r="Y8" s="267">
        <v>0</v>
      </c>
      <c r="Z8" s="267">
        <v>0</v>
      </c>
      <c r="AA8" s="267">
        <v>0</v>
      </c>
      <c r="AB8" s="267">
        <v>0</v>
      </c>
      <c r="AC8" s="267">
        <v>0</v>
      </c>
      <c r="AD8" s="267">
        <v>0</v>
      </c>
      <c r="AE8" s="267">
        <v>0</v>
      </c>
      <c r="AF8" s="267">
        <v>0</v>
      </c>
      <c r="AG8" s="267">
        <v>0</v>
      </c>
      <c r="AH8" s="267">
        <v>0</v>
      </c>
      <c r="AI8" s="267">
        <v>0</v>
      </c>
      <c r="AJ8" s="267">
        <v>0</v>
      </c>
      <c r="AK8" s="267">
        <v>0</v>
      </c>
      <c r="AL8" s="267">
        <v>0</v>
      </c>
    </row>
    <row r="9" spans="2:38" x14ac:dyDescent="0.2">
      <c r="B9" s="260" t="s">
        <v>404</v>
      </c>
      <c r="C9" s="266">
        <f t="shared" si="6"/>
        <v>0</v>
      </c>
      <c r="D9" s="267">
        <v>0</v>
      </c>
      <c r="E9" s="267">
        <v>0</v>
      </c>
      <c r="F9" s="267">
        <v>0</v>
      </c>
      <c r="G9" s="267">
        <v>0</v>
      </c>
      <c r="H9" s="267">
        <v>0</v>
      </c>
      <c r="I9" s="267">
        <v>0</v>
      </c>
      <c r="J9" s="267">
        <v>0</v>
      </c>
      <c r="K9" s="267">
        <v>0</v>
      </c>
      <c r="L9" s="267">
        <v>0</v>
      </c>
      <c r="M9" s="267">
        <v>0</v>
      </c>
      <c r="N9" s="267">
        <v>0</v>
      </c>
      <c r="O9" s="267">
        <v>0</v>
      </c>
      <c r="P9" s="267">
        <v>0</v>
      </c>
      <c r="Q9" s="267">
        <v>0</v>
      </c>
      <c r="R9" s="267">
        <v>0</v>
      </c>
      <c r="S9" s="267">
        <v>0</v>
      </c>
      <c r="T9" s="267">
        <v>0</v>
      </c>
      <c r="U9" s="267">
        <v>0</v>
      </c>
      <c r="V9" s="267">
        <v>0</v>
      </c>
      <c r="W9" s="267">
        <v>0</v>
      </c>
      <c r="X9" s="267">
        <v>0</v>
      </c>
      <c r="Y9" s="267">
        <v>0</v>
      </c>
      <c r="Z9" s="267">
        <v>0</v>
      </c>
      <c r="AA9" s="267">
        <v>0</v>
      </c>
      <c r="AB9" s="267">
        <v>0</v>
      </c>
      <c r="AC9" s="267">
        <v>0</v>
      </c>
      <c r="AD9" s="267">
        <v>0</v>
      </c>
      <c r="AE9" s="267">
        <v>0</v>
      </c>
      <c r="AF9" s="267">
        <v>0</v>
      </c>
      <c r="AG9" s="267">
        <v>0</v>
      </c>
      <c r="AH9" s="267">
        <v>0</v>
      </c>
      <c r="AI9" s="267">
        <v>0</v>
      </c>
      <c r="AJ9" s="267">
        <v>0</v>
      </c>
      <c r="AK9" s="267">
        <v>0</v>
      </c>
      <c r="AL9" s="267">
        <v>0</v>
      </c>
    </row>
    <row r="10" spans="2:38" x14ac:dyDescent="0.2">
      <c r="B10" s="260" t="s">
        <v>405</v>
      </c>
      <c r="C10" s="266">
        <f t="shared" si="6"/>
        <v>0</v>
      </c>
      <c r="D10" s="267">
        <v>0</v>
      </c>
      <c r="E10" s="267">
        <v>0</v>
      </c>
      <c r="F10" s="267">
        <v>0</v>
      </c>
      <c r="G10" s="267">
        <v>0</v>
      </c>
      <c r="H10" s="267">
        <v>0</v>
      </c>
      <c r="I10" s="267">
        <v>0</v>
      </c>
      <c r="J10" s="267">
        <v>0</v>
      </c>
      <c r="K10" s="267">
        <v>0</v>
      </c>
      <c r="L10" s="267">
        <v>0</v>
      </c>
      <c r="M10" s="267">
        <v>0</v>
      </c>
      <c r="N10" s="267">
        <v>0</v>
      </c>
      <c r="O10" s="267">
        <v>0</v>
      </c>
      <c r="P10" s="267">
        <v>0</v>
      </c>
      <c r="Q10" s="267">
        <v>0</v>
      </c>
      <c r="R10" s="267">
        <v>0</v>
      </c>
      <c r="S10" s="267">
        <v>0</v>
      </c>
      <c r="T10" s="267">
        <v>0</v>
      </c>
      <c r="U10" s="267">
        <v>0</v>
      </c>
      <c r="V10" s="267">
        <v>0</v>
      </c>
      <c r="W10" s="267">
        <v>0</v>
      </c>
      <c r="X10" s="267">
        <v>0</v>
      </c>
      <c r="Y10" s="267">
        <v>0</v>
      </c>
      <c r="Z10" s="267">
        <v>0</v>
      </c>
      <c r="AA10" s="267">
        <v>0</v>
      </c>
      <c r="AB10" s="267">
        <v>0</v>
      </c>
      <c r="AC10" s="267">
        <v>0</v>
      </c>
      <c r="AD10" s="267">
        <v>0</v>
      </c>
      <c r="AE10" s="267">
        <v>0</v>
      </c>
      <c r="AF10" s="267">
        <v>0</v>
      </c>
      <c r="AG10" s="267">
        <v>0</v>
      </c>
      <c r="AH10" s="267">
        <v>0</v>
      </c>
      <c r="AI10" s="267">
        <v>0</v>
      </c>
      <c r="AJ10" s="267">
        <v>0</v>
      </c>
      <c r="AK10" s="267">
        <v>0</v>
      </c>
      <c r="AL10" s="267">
        <v>0</v>
      </c>
    </row>
    <row r="11" spans="2:38" x14ac:dyDescent="0.2">
      <c r="B11" s="261" t="s">
        <v>9</v>
      </c>
      <c r="C11" s="268">
        <f t="shared" si="6"/>
        <v>6416176892.1479311</v>
      </c>
      <c r="D11" s="268">
        <f>SUM(D5:D10)</f>
        <v>135667648.79411209</v>
      </c>
      <c r="E11" s="268">
        <f t="shared" ref="E11:AG11" si="7">SUM(E5:E10)</f>
        <v>137973999.823612</v>
      </c>
      <c r="F11" s="268">
        <f t="shared" si="7"/>
        <v>140319558.80361336</v>
      </c>
      <c r="G11" s="268">
        <f t="shared" si="7"/>
        <v>142704992.26927477</v>
      </c>
      <c r="H11" s="268">
        <f t="shared" si="7"/>
        <v>145130978.08685246</v>
      </c>
      <c r="I11" s="268">
        <f t="shared" si="7"/>
        <v>147598205.64632893</v>
      </c>
      <c r="J11" s="268">
        <f t="shared" si="7"/>
        <v>150107376.05731651</v>
      </c>
      <c r="K11" s="268">
        <f t="shared" si="7"/>
        <v>152659202.34829089</v>
      </c>
      <c r="L11" s="268">
        <f t="shared" si="7"/>
        <v>155254409.6692118</v>
      </c>
      <c r="M11" s="268">
        <f t="shared" si="7"/>
        <v>157893735.4975884</v>
      </c>
      <c r="N11" s="268">
        <f t="shared" si="7"/>
        <v>160577929.84804738</v>
      </c>
      <c r="O11" s="268">
        <f t="shared" si="7"/>
        <v>163307755.48546416</v>
      </c>
      <c r="P11" s="268">
        <f t="shared" si="7"/>
        <v>166083988.14171705</v>
      </c>
      <c r="Q11" s="268">
        <f t="shared" si="7"/>
        <v>168907416.73612621</v>
      </c>
      <c r="R11" s="268">
        <f t="shared" si="7"/>
        <v>171778843.59964034</v>
      </c>
      <c r="S11" s="268">
        <f t="shared" si="7"/>
        <v>174699084.70283422</v>
      </c>
      <c r="T11" s="268">
        <f t="shared" si="7"/>
        <v>177668969.88778237</v>
      </c>
      <c r="U11" s="268">
        <f t="shared" si="7"/>
        <v>180689343.10387468</v>
      </c>
      <c r="V11" s="268">
        <f t="shared" si="7"/>
        <v>183761062.64764053</v>
      </c>
      <c r="W11" s="268">
        <f t="shared" si="7"/>
        <v>186885001.40665036</v>
      </c>
      <c r="X11" s="268">
        <f t="shared" si="7"/>
        <v>190062047.10756338</v>
      </c>
      <c r="Y11" s="268">
        <f t="shared" si="7"/>
        <v>193293102.56839198</v>
      </c>
      <c r="Z11" s="268">
        <f t="shared" si="7"/>
        <v>196579085.95505458</v>
      </c>
      <c r="AA11" s="268">
        <f t="shared" si="7"/>
        <v>199920931.04229051</v>
      </c>
      <c r="AB11" s="268">
        <f t="shared" si="7"/>
        <v>203319587.47900945</v>
      </c>
      <c r="AC11" s="268">
        <f t="shared" si="7"/>
        <v>206776021.05815259</v>
      </c>
      <c r="AD11" s="268">
        <f t="shared" si="7"/>
        <v>210291213.99114114</v>
      </c>
      <c r="AE11" s="268">
        <f t="shared" si="7"/>
        <v>213866165.18699056</v>
      </c>
      <c r="AF11" s="268">
        <f t="shared" si="7"/>
        <v>217501890.53616935</v>
      </c>
      <c r="AG11" s="268">
        <f t="shared" si="7"/>
        <v>221199423.1992842</v>
      </c>
      <c r="AH11" s="268">
        <f t="shared" ref="AH11:AL11" si="8">SUM(AH5:AH10)</f>
        <v>224959813.90067202</v>
      </c>
      <c r="AI11" s="268">
        <f t="shared" si="8"/>
        <v>228784131.2269834</v>
      </c>
      <c r="AJ11" s="268">
        <f t="shared" si="8"/>
        <v>232673461.9308421</v>
      </c>
      <c r="AK11" s="268">
        <f t="shared" si="8"/>
        <v>236628911.23966637</v>
      </c>
      <c r="AL11" s="268">
        <f t="shared" si="8"/>
        <v>240651603.16974068</v>
      </c>
    </row>
    <row r="14" spans="2:38" x14ac:dyDescent="0.2">
      <c r="B14" s="260"/>
      <c r="C14" s="260"/>
      <c r="D14" s="260" t="s">
        <v>10</v>
      </c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260"/>
      <c r="AF14" s="260"/>
      <c r="AG14" s="260"/>
      <c r="AH14" s="260"/>
      <c r="AI14" s="260"/>
      <c r="AJ14" s="260"/>
      <c r="AK14" s="260"/>
      <c r="AL14" s="260"/>
    </row>
    <row r="15" spans="2:38" x14ac:dyDescent="0.2">
      <c r="B15" s="261" t="s">
        <v>456</v>
      </c>
      <c r="C15" s="261"/>
      <c r="D15" s="262">
        <v>1</v>
      </c>
      <c r="E15" s="262">
        <v>2</v>
      </c>
      <c r="F15" s="262">
        <v>3</v>
      </c>
      <c r="G15" s="262">
        <v>4</v>
      </c>
      <c r="H15" s="262">
        <v>5</v>
      </c>
      <c r="I15" s="262">
        <v>6</v>
      </c>
      <c r="J15" s="262">
        <v>7</v>
      </c>
      <c r="K15" s="262">
        <v>8</v>
      </c>
      <c r="L15" s="262">
        <v>9</v>
      </c>
      <c r="M15" s="262">
        <v>10</v>
      </c>
      <c r="N15" s="262">
        <v>11</v>
      </c>
      <c r="O15" s="262">
        <v>12</v>
      </c>
      <c r="P15" s="262">
        <v>13</v>
      </c>
      <c r="Q15" s="262">
        <v>14</v>
      </c>
      <c r="R15" s="262">
        <v>15</v>
      </c>
      <c r="S15" s="262">
        <v>16</v>
      </c>
      <c r="T15" s="262">
        <v>17</v>
      </c>
      <c r="U15" s="262">
        <v>18</v>
      </c>
      <c r="V15" s="262">
        <v>19</v>
      </c>
      <c r="W15" s="262">
        <v>20</v>
      </c>
      <c r="X15" s="262">
        <v>21</v>
      </c>
      <c r="Y15" s="262">
        <v>22</v>
      </c>
      <c r="Z15" s="262">
        <v>23</v>
      </c>
      <c r="AA15" s="262">
        <v>24</v>
      </c>
      <c r="AB15" s="262">
        <v>25</v>
      </c>
      <c r="AC15" s="262">
        <v>26</v>
      </c>
      <c r="AD15" s="262">
        <v>27</v>
      </c>
      <c r="AE15" s="262">
        <v>28</v>
      </c>
      <c r="AF15" s="262">
        <v>29</v>
      </c>
      <c r="AG15" s="262">
        <v>30</v>
      </c>
      <c r="AH15" s="262">
        <v>31</v>
      </c>
      <c r="AI15" s="262">
        <v>32</v>
      </c>
      <c r="AJ15" s="262">
        <v>33</v>
      </c>
      <c r="AK15" s="262">
        <v>34</v>
      </c>
      <c r="AL15" s="262">
        <v>35</v>
      </c>
    </row>
    <row r="16" spans="2:38" x14ac:dyDescent="0.2">
      <c r="B16" s="263" t="s">
        <v>34</v>
      </c>
      <c r="C16" s="264" t="s">
        <v>9</v>
      </c>
      <c r="D16" s="265">
        <f t="shared" ref="D16:AG16" si="9">D4</f>
        <v>2024</v>
      </c>
      <c r="E16" s="265">
        <f t="shared" si="9"/>
        <v>2025</v>
      </c>
      <c r="F16" s="265">
        <f t="shared" si="9"/>
        <v>2026</v>
      </c>
      <c r="G16" s="265">
        <f t="shared" si="9"/>
        <v>2027</v>
      </c>
      <c r="H16" s="265">
        <f t="shared" si="9"/>
        <v>2028</v>
      </c>
      <c r="I16" s="265">
        <f t="shared" si="9"/>
        <v>2029</v>
      </c>
      <c r="J16" s="265">
        <f t="shared" si="9"/>
        <v>2030</v>
      </c>
      <c r="K16" s="265">
        <f t="shared" si="9"/>
        <v>2031</v>
      </c>
      <c r="L16" s="265">
        <f t="shared" si="9"/>
        <v>2032</v>
      </c>
      <c r="M16" s="265">
        <f t="shared" si="9"/>
        <v>2033</v>
      </c>
      <c r="N16" s="265">
        <f t="shared" si="9"/>
        <v>2034</v>
      </c>
      <c r="O16" s="265">
        <f t="shared" si="9"/>
        <v>2035</v>
      </c>
      <c r="P16" s="265">
        <f t="shared" si="9"/>
        <v>2036</v>
      </c>
      <c r="Q16" s="265">
        <f t="shared" si="9"/>
        <v>2037</v>
      </c>
      <c r="R16" s="265">
        <f t="shared" si="9"/>
        <v>2038</v>
      </c>
      <c r="S16" s="265">
        <f t="shared" si="9"/>
        <v>2039</v>
      </c>
      <c r="T16" s="265">
        <f t="shared" si="9"/>
        <v>2040</v>
      </c>
      <c r="U16" s="265">
        <f t="shared" si="9"/>
        <v>2041</v>
      </c>
      <c r="V16" s="265">
        <f t="shared" si="9"/>
        <v>2042</v>
      </c>
      <c r="W16" s="265">
        <f t="shared" si="9"/>
        <v>2043</v>
      </c>
      <c r="X16" s="265">
        <f t="shared" si="9"/>
        <v>2044</v>
      </c>
      <c r="Y16" s="265">
        <f t="shared" si="9"/>
        <v>2045</v>
      </c>
      <c r="Z16" s="265">
        <f t="shared" si="9"/>
        <v>2046</v>
      </c>
      <c r="AA16" s="265">
        <f t="shared" si="9"/>
        <v>2047</v>
      </c>
      <c r="AB16" s="265">
        <f t="shared" si="9"/>
        <v>2048</v>
      </c>
      <c r="AC16" s="265">
        <f t="shared" si="9"/>
        <v>2049</v>
      </c>
      <c r="AD16" s="265">
        <f t="shared" si="9"/>
        <v>2050</v>
      </c>
      <c r="AE16" s="265">
        <f t="shared" si="9"/>
        <v>2051</v>
      </c>
      <c r="AF16" s="265">
        <f t="shared" si="9"/>
        <v>2052</v>
      </c>
      <c r="AG16" s="265">
        <f t="shared" si="9"/>
        <v>2053</v>
      </c>
      <c r="AH16" s="265">
        <f t="shared" ref="AH16:AL16" si="10">AH4</f>
        <v>2054</v>
      </c>
      <c r="AI16" s="265">
        <f t="shared" si="10"/>
        <v>2055</v>
      </c>
      <c r="AJ16" s="265">
        <f t="shared" si="10"/>
        <v>2056</v>
      </c>
      <c r="AK16" s="265">
        <f t="shared" si="10"/>
        <v>2057</v>
      </c>
      <c r="AL16" s="265">
        <f t="shared" si="10"/>
        <v>2058</v>
      </c>
    </row>
    <row r="17" spans="2:38" x14ac:dyDescent="0.2">
      <c r="B17" s="260" t="s">
        <v>400</v>
      </c>
      <c r="C17" s="266">
        <f t="shared" ref="C17:C23" si="11">SUM(D17:AL17)</f>
        <v>595</v>
      </c>
      <c r="D17" s="267">
        <v>0</v>
      </c>
      <c r="E17" s="267">
        <v>1</v>
      </c>
      <c r="F17" s="267">
        <v>2</v>
      </c>
      <c r="G17" s="267">
        <v>3</v>
      </c>
      <c r="H17" s="267">
        <v>4</v>
      </c>
      <c r="I17" s="267">
        <v>5</v>
      </c>
      <c r="J17" s="267">
        <v>6</v>
      </c>
      <c r="K17" s="267">
        <v>7</v>
      </c>
      <c r="L17" s="267">
        <v>8</v>
      </c>
      <c r="M17" s="267">
        <v>9</v>
      </c>
      <c r="N17" s="267">
        <v>10</v>
      </c>
      <c r="O17" s="267">
        <v>11</v>
      </c>
      <c r="P17" s="267">
        <v>12</v>
      </c>
      <c r="Q17" s="267">
        <v>13</v>
      </c>
      <c r="R17" s="267">
        <v>14</v>
      </c>
      <c r="S17" s="267">
        <v>15</v>
      </c>
      <c r="T17" s="267">
        <v>16</v>
      </c>
      <c r="U17" s="267">
        <v>17</v>
      </c>
      <c r="V17" s="267">
        <v>18</v>
      </c>
      <c r="W17" s="267">
        <v>19</v>
      </c>
      <c r="X17" s="267">
        <v>20</v>
      </c>
      <c r="Y17" s="267">
        <v>21</v>
      </c>
      <c r="Z17" s="267">
        <v>22</v>
      </c>
      <c r="AA17" s="267">
        <v>23</v>
      </c>
      <c r="AB17" s="267">
        <v>24</v>
      </c>
      <c r="AC17" s="267">
        <v>25</v>
      </c>
      <c r="AD17" s="267">
        <v>26</v>
      </c>
      <c r="AE17" s="267">
        <v>27</v>
      </c>
      <c r="AF17" s="267">
        <v>28</v>
      </c>
      <c r="AG17" s="267">
        <v>29</v>
      </c>
      <c r="AH17" s="267">
        <v>30</v>
      </c>
      <c r="AI17" s="267">
        <v>31</v>
      </c>
      <c r="AJ17" s="267">
        <v>32</v>
      </c>
      <c r="AK17" s="267">
        <v>33</v>
      </c>
      <c r="AL17" s="267">
        <v>34</v>
      </c>
    </row>
    <row r="18" spans="2:38" x14ac:dyDescent="0.2">
      <c r="B18" s="260" t="s">
        <v>401</v>
      </c>
      <c r="C18" s="266">
        <f t="shared" si="11"/>
        <v>4123771581.405776</v>
      </c>
      <c r="D18" s="267">
        <f>'10_A Bezpečnosť (cesty)'!D60*Vstupy!$C$121</f>
        <v>87786190.540287182</v>
      </c>
      <c r="E18" s="267">
        <f>'10_A Bezpečnosť (cesty)'!E60*Vstupy!$C$121</f>
        <v>89278555.779472068</v>
      </c>
      <c r="F18" s="267">
        <f>'10_A Bezpečnosť (cesty)'!F60*Vstupy!$C$121</f>
        <v>90796291.227723077</v>
      </c>
      <c r="G18" s="267">
        <f>'10_A Bezpečnosť (cesty)'!G60*Vstupy!$C$121</f>
        <v>91456633.433913231</v>
      </c>
      <c r="H18" s="267">
        <f>'10_A Bezpečnosť (cesty)'!H60*Vstupy!$C$121</f>
        <v>93026410.512949333</v>
      </c>
      <c r="I18" s="267">
        <f>'10_A Bezpečnosť (cesty)'!I60*Vstupy!$C$121</f>
        <v>94622873.802329034</v>
      </c>
      <c r="J18" s="267">
        <f>'10_A Bezpečnosť (cesty)'!J60*Vstupy!$C$121</f>
        <v>96246476.967628211</v>
      </c>
      <c r="K18" s="267">
        <f>'10_A Bezpečnosť (cesty)'!K60*Vstupy!$C$121</f>
        <v>97897681.386737451</v>
      </c>
      <c r="L18" s="267">
        <f>'10_A Bezpečnosť (cesty)'!L60*Vstupy!$C$121</f>
        <v>99576956.280971572</v>
      </c>
      <c r="M18" s="267">
        <f>'10_A Bezpečnosť (cesty)'!M60*Vstupy!$C$121</f>
        <v>101284778.84840764</v>
      </c>
      <c r="N18" s="267">
        <f>'10_A Bezpečnosť (cesty)'!N60*Vstupy!$C$121</f>
        <v>103021634.39949015</v>
      </c>
      <c r="O18" s="267">
        <f>'10_A Bezpečnosť (cesty)'!O60*Vstupy!$C$121</f>
        <v>104788016.49494103</v>
      </c>
      <c r="P18" s="267">
        <f>'10_A Bezpečnosť (cesty)'!P60*Vstupy!$C$121</f>
        <v>106584427.0860146</v>
      </c>
      <c r="Q18" s="267">
        <f>'10_A Bezpečnosť (cesty)'!Q60*Vstupy!$C$121</f>
        <v>108411376.65713641</v>
      </c>
      <c r="R18" s="267">
        <f>'10_A Bezpečnosť (cesty)'!R60*Vstupy!$C$121</f>
        <v>110269384.3709673</v>
      </c>
      <c r="S18" s="267">
        <f>'10_A Bezpečnosť (cesty)'!S60*Vstupy!$C$121</f>
        <v>112158978.21593332</v>
      </c>
      <c r="T18" s="267">
        <f>'10_A Bezpečnosť (cesty)'!T60*Vstupy!$C$121</f>
        <v>114082461.54575311</v>
      </c>
      <c r="U18" s="267">
        <f>'10_A Bezpečnosť (cesty)'!U60*Vstupy!$C$121</f>
        <v>116038610.53077956</v>
      </c>
      <c r="V18" s="267">
        <f>'10_A Bezpečnosť (cesty)'!V60*Vstupy!$C$121</f>
        <v>118027980.55427395</v>
      </c>
      <c r="W18" s="267">
        <f>'10_A Bezpečnosť (cesty)'!W60*Vstupy!$C$121</f>
        <v>120051136.44087875</v>
      </c>
      <c r="X18" s="267">
        <f>'10_A Bezpečnosť (cesty)'!X60*Vstupy!$C$121</f>
        <v>122108652.61712155</v>
      </c>
      <c r="Y18" s="267">
        <f>'10_A Bezpečnosť (cesty)'!Y60*Vstupy!$C$121</f>
        <v>124201113.27464695</v>
      </c>
      <c r="Z18" s="267">
        <f>'10_A Bezpečnosť (cesty)'!Z60*Vstupy!$C$121</f>
        <v>126329112.5362242</v>
      </c>
      <c r="AA18" s="267">
        <f>'10_A Bezpečnosť (cesty)'!AA60*Vstupy!$C$121</f>
        <v>128493254.62457646</v>
      </c>
      <c r="AB18" s="267">
        <f>'10_A Bezpečnosť (cesty)'!AB60*Vstupy!$C$121</f>
        <v>130694154.03408024</v>
      </c>
      <c r="AC18" s="267">
        <f>'10_A Bezpečnosť (cesty)'!AC60*Vstupy!$C$121</f>
        <v>132932435.70538379</v>
      </c>
      <c r="AD18" s="267">
        <f>'10_A Bezpečnosť (cesty)'!AD60*Vstupy!$C$121</f>
        <v>135208735.20299408</v>
      </c>
      <c r="AE18" s="267">
        <f>'10_A Bezpečnosť (cesty)'!AE60*Vstupy!$C$121</f>
        <v>137523698.89588249</v>
      </c>
      <c r="AF18" s="267">
        <f>'10_A Bezpečnosť (cesty)'!AF60*Vstupy!$C$121</f>
        <v>139877984.14116111</v>
      </c>
      <c r="AG18" s="267">
        <f>'10_A Bezpečnosť (cesty)'!AG60*Vstupy!$C$121</f>
        <v>142272259.4708814</v>
      </c>
      <c r="AH18" s="267">
        <f>'10_A Bezpečnosť (cesty)'!AH60*Vstupy!$C$121</f>
        <v>144707204.78200829</v>
      </c>
      <c r="AI18" s="267">
        <f>'10_A Bezpečnosť (cesty)'!AI60*Vstupy!$C$121</f>
        <v>147183511.5296241</v>
      </c>
      <c r="AJ18" s="267">
        <f>'10_A Bezpečnosť (cesty)'!AJ60*Vstupy!$C$121</f>
        <v>149701882.9234167</v>
      </c>
      <c r="AK18" s="267">
        <f>'10_A Bezpečnosť (cesty)'!AK60*Vstupy!$C$121</f>
        <v>152263034.12750822</v>
      </c>
      <c r="AL18" s="267">
        <f>'10_A Bezpečnosť (cesty)'!AL60*Vstupy!$C$121</f>
        <v>154867692.46368051</v>
      </c>
    </row>
    <row r="19" spans="2:38" x14ac:dyDescent="0.2">
      <c r="B19" s="260" t="s">
        <v>402</v>
      </c>
      <c r="C19" s="266">
        <f t="shared" si="11"/>
        <v>2249239836.1081033</v>
      </c>
      <c r="D19" s="267">
        <f>'10_A Bezpečnosť (cesty)'!D60*Vstupy!$D$121</f>
        <v>47881458.253824905</v>
      </c>
      <c r="E19" s="267">
        <f>'10_A Bezpečnosť (cesty)'!E60*Vstupy!$D$121</f>
        <v>48695443.044139929</v>
      </c>
      <c r="F19" s="267">
        <f>'10_A Bezpečnosť (cesty)'!F60*Vstupy!$D$121</f>
        <v>49523265.575890303</v>
      </c>
      <c r="G19" s="267">
        <f>'10_A Bezpečnosť (cesty)'!G60*Vstupy!$D$121</f>
        <v>49883437.803257003</v>
      </c>
      <c r="H19" s="267">
        <f>'10_A Bezpečnosť (cesty)'!H60*Vstupy!$D$121</f>
        <v>50739645.541798562</v>
      </c>
      <c r="I19" s="267">
        <f>'10_A Bezpečnosť (cesty)'!I60*Vstupy!$D$121</f>
        <v>51610408.811895326</v>
      </c>
      <c r="J19" s="267">
        <f>'10_A Bezpečnosť (cesty)'!J60*Vstupy!$D$121</f>
        <v>52495975.057583749</v>
      </c>
      <c r="K19" s="267">
        <f>'10_A Bezpečnosť (cesty)'!K60*Vstupy!$D$121</f>
        <v>53396595.929448865</v>
      </c>
      <c r="L19" s="267">
        <f>'10_A Bezpečnosť (cesty)'!L60*Vstupy!$D$121</f>
        <v>54312527.356135696</v>
      </c>
      <c r="M19" s="267">
        <f>'10_A Bezpečnosť (cesty)'!M60*Vstupy!$D$121</f>
        <v>55244029.617076188</v>
      </c>
      <c r="N19" s="267">
        <f>'10_A Bezpečnosť (cesty)'!N60*Vstupy!$D$121</f>
        <v>56191367.416452676</v>
      </c>
      <c r="O19" s="267">
        <f>'10_A Bezpečnosť (cesty)'!O60*Vstupy!$D$121</f>
        <v>57154809.958418556</v>
      </c>
      <c r="P19" s="267">
        <f>'10_A Bezpečnosť (cesty)'!P60*Vstupy!$D$121</f>
        <v>58134631.023597866</v>
      </c>
      <c r="Q19" s="267">
        <f>'10_A Bezpečnosť (cesty)'!Q60*Vstupy!$D$121</f>
        <v>59131109.046885222</v>
      </c>
      <c r="R19" s="267">
        <f>'10_A Bezpečnosť (cesty)'!R60*Vstupy!$D$121</f>
        <v>60144527.196568467</v>
      </c>
      <c r="S19" s="267">
        <f>'10_A Bezpečnosť (cesty)'!S60*Vstupy!$D$121</f>
        <v>61175173.454796322</v>
      </c>
      <c r="T19" s="267">
        <f>'10_A Bezpečnosť (cesty)'!T60*Vstupy!$D$121</f>
        <v>62224304.145988896</v>
      </c>
      <c r="U19" s="267">
        <f>'10_A Bezpečnosť (cesty)'!U60*Vstupy!$D$121</f>
        <v>63291251.753446832</v>
      </c>
      <c r="V19" s="267">
        <f>'10_A Bezpečnosť (cesty)'!V60*Vstupy!$D$121</f>
        <v>64376319.201357596</v>
      </c>
      <c r="W19" s="267">
        <f>'10_A Bezpečnosť (cesty)'!W60*Vstupy!$D$121</f>
        <v>65479814.563546605</v>
      </c>
      <c r="X19" s="267">
        <f>'10_A Bezpečnosť (cesty)'!X60*Vstupy!$D$121</f>
        <v>66602051.151021346</v>
      </c>
      <c r="Y19" s="267">
        <f>'10_A Bezpečnosť (cesty)'!Y60*Vstupy!$D$121</f>
        <v>67743347.601003349</v>
      </c>
      <c r="Z19" s="267">
        <f>'10_A Bezpečnosť (cesty)'!Z60*Vstupy!$D$121</f>
        <v>68904027.967474207</v>
      </c>
      <c r="AA19" s="267">
        <f>'10_A Bezpečnosť (cesty)'!AA60*Vstupy!$D$121</f>
        <v>70084421.813260585</v>
      </c>
      <c r="AB19" s="267">
        <f>'10_A Bezpečnosť (cesty)'!AB60*Vstupy!$D$121</f>
        <v>71284864.303684637</v>
      </c>
      <c r="AC19" s="267">
        <f>'10_A Bezpečnosť (cesty)'!AC60*Vstupy!$D$121</f>
        <v>72505696.301806688</v>
      </c>
      <c r="AD19" s="267">
        <f>'10_A Bezpečnosť (cesty)'!AD60*Vstupy!$D$121</f>
        <v>73747264.465286911</v>
      </c>
      <c r="AE19" s="267">
        <f>'10_A Bezpečnosť (cesty)'!AE60*Vstupy!$D$121</f>
        <v>75009921.34489359</v>
      </c>
      <c r="AF19" s="267">
        <f>'10_A Bezpečnosť (cesty)'!AF60*Vstupy!$D$121</f>
        <v>76294025.484686196</v>
      </c>
      <c r="AG19" s="267">
        <f>'10_A Bezpečnosť (cesty)'!AG60*Vstupy!$D$121</f>
        <v>77599941.523901418</v>
      </c>
      <c r="AH19" s="267">
        <f>'10_A Bezpečnosť (cesty)'!AH60*Vstupy!$D$121</f>
        <v>78928040.300571352</v>
      </c>
      <c r="AI19" s="267">
        <f>'10_A Bezpečnosť (cesty)'!AI60*Vstupy!$D$121</f>
        <v>80278698.956903145</v>
      </c>
      <c r="AJ19" s="267">
        <f>'10_A Bezpečnosť (cesty)'!AJ60*Vstupy!$D$121</f>
        <v>81652301.046450123</v>
      </c>
      <c r="AK19" s="267">
        <f>'10_A Bezpečnosť (cesty)'!AK60*Vstupy!$D$121</f>
        <v>83049236.643104851</v>
      </c>
      <c r="AL19" s="267">
        <f>'10_A Bezpečnosť (cesty)'!AL60*Vstupy!$D$121</f>
        <v>84469902.451944977</v>
      </c>
    </row>
    <row r="20" spans="2:38" x14ac:dyDescent="0.2">
      <c r="B20" s="260" t="s">
        <v>403</v>
      </c>
      <c r="C20" s="266">
        <f t="shared" si="11"/>
        <v>0</v>
      </c>
      <c r="D20" s="267">
        <v>0</v>
      </c>
      <c r="E20" s="267">
        <v>0</v>
      </c>
      <c r="F20" s="267">
        <v>0</v>
      </c>
      <c r="G20" s="267">
        <v>0</v>
      </c>
      <c r="H20" s="267">
        <v>0</v>
      </c>
      <c r="I20" s="267">
        <v>0</v>
      </c>
      <c r="J20" s="267">
        <v>0</v>
      </c>
      <c r="K20" s="267">
        <v>0</v>
      </c>
      <c r="L20" s="267">
        <v>0</v>
      </c>
      <c r="M20" s="267">
        <v>0</v>
      </c>
      <c r="N20" s="267">
        <v>0</v>
      </c>
      <c r="O20" s="267">
        <v>0</v>
      </c>
      <c r="P20" s="267">
        <v>0</v>
      </c>
      <c r="Q20" s="267">
        <v>0</v>
      </c>
      <c r="R20" s="267">
        <v>0</v>
      </c>
      <c r="S20" s="267">
        <v>0</v>
      </c>
      <c r="T20" s="267">
        <v>0</v>
      </c>
      <c r="U20" s="267">
        <v>0</v>
      </c>
      <c r="V20" s="267">
        <v>0</v>
      </c>
      <c r="W20" s="267">
        <v>0</v>
      </c>
      <c r="X20" s="267">
        <v>0</v>
      </c>
      <c r="Y20" s="267">
        <v>0</v>
      </c>
      <c r="Z20" s="267">
        <v>0</v>
      </c>
      <c r="AA20" s="267">
        <v>0</v>
      </c>
      <c r="AB20" s="267">
        <v>0</v>
      </c>
      <c r="AC20" s="267">
        <v>0</v>
      </c>
      <c r="AD20" s="267">
        <v>0</v>
      </c>
      <c r="AE20" s="267">
        <v>0</v>
      </c>
      <c r="AF20" s="267">
        <v>0</v>
      </c>
      <c r="AG20" s="267">
        <v>0</v>
      </c>
      <c r="AH20" s="267">
        <v>0</v>
      </c>
      <c r="AI20" s="267">
        <v>0</v>
      </c>
      <c r="AJ20" s="267">
        <v>0</v>
      </c>
      <c r="AK20" s="267">
        <v>0</v>
      </c>
      <c r="AL20" s="267">
        <v>0</v>
      </c>
    </row>
    <row r="21" spans="2:38" x14ac:dyDescent="0.2">
      <c r="B21" s="260" t="s">
        <v>404</v>
      </c>
      <c r="C21" s="266">
        <f t="shared" si="11"/>
        <v>0</v>
      </c>
      <c r="D21" s="267">
        <v>0</v>
      </c>
      <c r="E21" s="267">
        <v>0</v>
      </c>
      <c r="F21" s="267">
        <v>0</v>
      </c>
      <c r="G21" s="267">
        <v>0</v>
      </c>
      <c r="H21" s="267">
        <v>0</v>
      </c>
      <c r="I21" s="267">
        <v>0</v>
      </c>
      <c r="J21" s="267">
        <v>0</v>
      </c>
      <c r="K21" s="267">
        <v>0</v>
      </c>
      <c r="L21" s="267">
        <v>0</v>
      </c>
      <c r="M21" s="267">
        <v>0</v>
      </c>
      <c r="N21" s="267">
        <v>0</v>
      </c>
      <c r="O21" s="267">
        <v>0</v>
      </c>
      <c r="P21" s="267">
        <v>0</v>
      </c>
      <c r="Q21" s="267">
        <v>0</v>
      </c>
      <c r="R21" s="267">
        <v>0</v>
      </c>
      <c r="S21" s="267">
        <v>0</v>
      </c>
      <c r="T21" s="267">
        <v>0</v>
      </c>
      <c r="U21" s="267">
        <v>0</v>
      </c>
      <c r="V21" s="267">
        <v>0</v>
      </c>
      <c r="W21" s="267">
        <v>0</v>
      </c>
      <c r="X21" s="267">
        <v>0</v>
      </c>
      <c r="Y21" s="267">
        <v>0</v>
      </c>
      <c r="Z21" s="267">
        <v>0</v>
      </c>
      <c r="AA21" s="267">
        <v>0</v>
      </c>
      <c r="AB21" s="267">
        <v>0</v>
      </c>
      <c r="AC21" s="267">
        <v>0</v>
      </c>
      <c r="AD21" s="267">
        <v>0</v>
      </c>
      <c r="AE21" s="267">
        <v>0</v>
      </c>
      <c r="AF21" s="267">
        <v>0</v>
      </c>
      <c r="AG21" s="267">
        <v>0</v>
      </c>
      <c r="AH21" s="267">
        <v>0</v>
      </c>
      <c r="AI21" s="267">
        <v>0</v>
      </c>
      <c r="AJ21" s="267">
        <v>0</v>
      </c>
      <c r="AK21" s="267">
        <v>0</v>
      </c>
      <c r="AL21" s="267">
        <v>0</v>
      </c>
    </row>
    <row r="22" spans="2:38" x14ac:dyDescent="0.2">
      <c r="B22" s="260" t="s">
        <v>405</v>
      </c>
      <c r="C22" s="266">
        <f t="shared" si="11"/>
        <v>0</v>
      </c>
      <c r="D22" s="267">
        <v>0</v>
      </c>
      <c r="E22" s="267">
        <v>0</v>
      </c>
      <c r="F22" s="267">
        <v>0</v>
      </c>
      <c r="G22" s="267">
        <v>0</v>
      </c>
      <c r="H22" s="267">
        <v>0</v>
      </c>
      <c r="I22" s="267">
        <v>0</v>
      </c>
      <c r="J22" s="267">
        <v>0</v>
      </c>
      <c r="K22" s="267">
        <v>0</v>
      </c>
      <c r="L22" s="267">
        <v>0</v>
      </c>
      <c r="M22" s="267">
        <v>0</v>
      </c>
      <c r="N22" s="267">
        <v>0</v>
      </c>
      <c r="O22" s="267">
        <v>0</v>
      </c>
      <c r="P22" s="267">
        <v>0</v>
      </c>
      <c r="Q22" s="267">
        <v>0</v>
      </c>
      <c r="R22" s="267">
        <v>0</v>
      </c>
      <c r="S22" s="267">
        <v>0</v>
      </c>
      <c r="T22" s="267">
        <v>0</v>
      </c>
      <c r="U22" s="267">
        <v>0</v>
      </c>
      <c r="V22" s="267">
        <v>0</v>
      </c>
      <c r="W22" s="267">
        <v>0</v>
      </c>
      <c r="X22" s="267">
        <v>0</v>
      </c>
      <c r="Y22" s="267">
        <v>0</v>
      </c>
      <c r="Z22" s="267">
        <v>0</v>
      </c>
      <c r="AA22" s="267">
        <v>0</v>
      </c>
      <c r="AB22" s="267">
        <v>0</v>
      </c>
      <c r="AC22" s="267">
        <v>0</v>
      </c>
      <c r="AD22" s="267">
        <v>0</v>
      </c>
      <c r="AE22" s="267">
        <v>0</v>
      </c>
      <c r="AF22" s="267">
        <v>0</v>
      </c>
      <c r="AG22" s="267">
        <v>0</v>
      </c>
      <c r="AH22" s="267">
        <v>0</v>
      </c>
      <c r="AI22" s="267">
        <v>0</v>
      </c>
      <c r="AJ22" s="267">
        <v>0</v>
      </c>
      <c r="AK22" s="267">
        <v>0</v>
      </c>
      <c r="AL22" s="267">
        <v>0</v>
      </c>
    </row>
    <row r="23" spans="2:38" x14ac:dyDescent="0.2">
      <c r="B23" s="261" t="s">
        <v>35</v>
      </c>
      <c r="C23" s="268">
        <f t="shared" si="11"/>
        <v>6373012012.5138788</v>
      </c>
      <c r="D23" s="268">
        <f t="shared" ref="D23:AG23" si="12">SUM(D17:D22)</f>
        <v>135667648.79411209</v>
      </c>
      <c r="E23" s="268">
        <f t="shared" si="12"/>
        <v>137973999.823612</v>
      </c>
      <c r="F23" s="268">
        <f t="shared" si="12"/>
        <v>140319558.80361336</v>
      </c>
      <c r="G23" s="268">
        <f t="shared" si="12"/>
        <v>141340074.23717022</v>
      </c>
      <c r="H23" s="268">
        <f t="shared" si="12"/>
        <v>143766060.05474788</v>
      </c>
      <c r="I23" s="268">
        <f t="shared" si="12"/>
        <v>146233287.61422437</v>
      </c>
      <c r="J23" s="268">
        <f t="shared" si="12"/>
        <v>148742458.02521196</v>
      </c>
      <c r="K23" s="268">
        <f t="shared" si="12"/>
        <v>151294284.31618631</v>
      </c>
      <c r="L23" s="268">
        <f t="shared" si="12"/>
        <v>153889491.63710725</v>
      </c>
      <c r="M23" s="268">
        <f t="shared" si="12"/>
        <v>156528817.46548384</v>
      </c>
      <c r="N23" s="268">
        <f t="shared" si="12"/>
        <v>159213011.81594282</v>
      </c>
      <c r="O23" s="268">
        <f t="shared" si="12"/>
        <v>161942837.45335957</v>
      </c>
      <c r="P23" s="268">
        <f t="shared" si="12"/>
        <v>164719070.10961246</v>
      </c>
      <c r="Q23" s="268">
        <f t="shared" si="12"/>
        <v>167542498.70402163</v>
      </c>
      <c r="R23" s="268">
        <f t="shared" si="12"/>
        <v>170413925.56753576</v>
      </c>
      <c r="S23" s="268">
        <f t="shared" si="12"/>
        <v>173334166.67072964</v>
      </c>
      <c r="T23" s="268">
        <f t="shared" si="12"/>
        <v>176306781.691742</v>
      </c>
      <c r="U23" s="268">
        <f t="shared" si="12"/>
        <v>179329879.28422639</v>
      </c>
      <c r="V23" s="268">
        <f t="shared" si="12"/>
        <v>182404317.75563154</v>
      </c>
      <c r="W23" s="268">
        <f t="shared" si="12"/>
        <v>185530970.00442535</v>
      </c>
      <c r="X23" s="268">
        <f t="shared" si="12"/>
        <v>188710723.76814288</v>
      </c>
      <c r="Y23" s="268">
        <f t="shared" si="12"/>
        <v>191944481.87565029</v>
      </c>
      <c r="Z23" s="268">
        <f t="shared" si="12"/>
        <v>195233162.50369841</v>
      </c>
      <c r="AA23" s="268">
        <f t="shared" si="12"/>
        <v>198577699.43783706</v>
      </c>
      <c r="AB23" s="268">
        <f t="shared" si="12"/>
        <v>201979042.33776486</v>
      </c>
      <c r="AC23" s="268">
        <f t="shared" si="12"/>
        <v>205438157.00719047</v>
      </c>
      <c r="AD23" s="268">
        <f t="shared" si="12"/>
        <v>208956025.66828099</v>
      </c>
      <c r="AE23" s="268">
        <f t="shared" si="12"/>
        <v>212533647.24077606</v>
      </c>
      <c r="AF23" s="268">
        <f t="shared" si="12"/>
        <v>216172037.62584731</v>
      </c>
      <c r="AG23" s="268">
        <f t="shared" si="12"/>
        <v>219872229.99478281</v>
      </c>
      <c r="AH23" s="268">
        <f t="shared" ref="AH23:AL23" si="13">SUM(AH17:AH22)</f>
        <v>223635275.08257964</v>
      </c>
      <c r="AI23" s="268">
        <f t="shared" si="13"/>
        <v>227462241.48652726</v>
      </c>
      <c r="AJ23" s="268">
        <f t="shared" si="13"/>
        <v>231354215.96986681</v>
      </c>
      <c r="AK23" s="268">
        <f t="shared" si="13"/>
        <v>235312303.77061307</v>
      </c>
      <c r="AL23" s="268">
        <f t="shared" si="13"/>
        <v>239337628.91562548</v>
      </c>
    </row>
    <row r="26" spans="2:38" x14ac:dyDescent="0.2">
      <c r="B26" s="260"/>
      <c r="C26" s="260"/>
      <c r="D26" s="260" t="s">
        <v>10</v>
      </c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  <c r="AC26" s="260"/>
      <c r="AD26" s="260"/>
      <c r="AE26" s="260"/>
      <c r="AF26" s="260"/>
      <c r="AG26" s="260"/>
      <c r="AH26" s="260"/>
      <c r="AI26" s="260"/>
      <c r="AJ26" s="260"/>
      <c r="AK26" s="260"/>
      <c r="AL26" s="260"/>
    </row>
    <row r="27" spans="2:38" x14ac:dyDescent="0.2">
      <c r="B27" s="261" t="s">
        <v>457</v>
      </c>
      <c r="C27" s="261"/>
      <c r="D27" s="262">
        <v>1</v>
      </c>
      <c r="E27" s="262">
        <v>2</v>
      </c>
      <c r="F27" s="262">
        <v>3</v>
      </c>
      <c r="G27" s="262">
        <v>4</v>
      </c>
      <c r="H27" s="262">
        <v>5</v>
      </c>
      <c r="I27" s="262">
        <v>6</v>
      </c>
      <c r="J27" s="262">
        <v>7</v>
      </c>
      <c r="K27" s="262">
        <v>8</v>
      </c>
      <c r="L27" s="262">
        <v>9</v>
      </c>
      <c r="M27" s="262">
        <v>10</v>
      </c>
      <c r="N27" s="262">
        <v>11</v>
      </c>
      <c r="O27" s="262">
        <v>12</v>
      </c>
      <c r="P27" s="262">
        <v>13</v>
      </c>
      <c r="Q27" s="262">
        <v>14</v>
      </c>
      <c r="R27" s="262">
        <v>15</v>
      </c>
      <c r="S27" s="262">
        <v>16</v>
      </c>
      <c r="T27" s="262">
        <v>17</v>
      </c>
      <c r="U27" s="262">
        <v>18</v>
      </c>
      <c r="V27" s="262">
        <v>19</v>
      </c>
      <c r="W27" s="262">
        <v>20</v>
      </c>
      <c r="X27" s="262">
        <v>21</v>
      </c>
      <c r="Y27" s="262">
        <v>22</v>
      </c>
      <c r="Z27" s="262">
        <v>23</v>
      </c>
      <c r="AA27" s="262">
        <v>24</v>
      </c>
      <c r="AB27" s="262">
        <v>25</v>
      </c>
      <c r="AC27" s="262">
        <v>26</v>
      </c>
      <c r="AD27" s="262">
        <v>27</v>
      </c>
      <c r="AE27" s="262">
        <v>28</v>
      </c>
      <c r="AF27" s="262">
        <v>29</v>
      </c>
      <c r="AG27" s="262">
        <v>30</v>
      </c>
      <c r="AH27" s="262">
        <v>31</v>
      </c>
      <c r="AI27" s="262">
        <v>32</v>
      </c>
      <c r="AJ27" s="262">
        <v>33</v>
      </c>
      <c r="AK27" s="262">
        <v>34</v>
      </c>
      <c r="AL27" s="262">
        <v>35</v>
      </c>
    </row>
    <row r="28" spans="2:38" x14ac:dyDescent="0.2">
      <c r="B28" s="263" t="s">
        <v>63</v>
      </c>
      <c r="C28" s="264" t="s">
        <v>9</v>
      </c>
      <c r="D28" s="265">
        <f t="shared" ref="D28:AG28" si="14">D4</f>
        <v>2024</v>
      </c>
      <c r="E28" s="265">
        <f t="shared" si="14"/>
        <v>2025</v>
      </c>
      <c r="F28" s="265">
        <f t="shared" si="14"/>
        <v>2026</v>
      </c>
      <c r="G28" s="265">
        <f t="shared" si="14"/>
        <v>2027</v>
      </c>
      <c r="H28" s="265">
        <f t="shared" si="14"/>
        <v>2028</v>
      </c>
      <c r="I28" s="265">
        <f t="shared" si="14"/>
        <v>2029</v>
      </c>
      <c r="J28" s="265">
        <f t="shared" si="14"/>
        <v>2030</v>
      </c>
      <c r="K28" s="265">
        <f t="shared" si="14"/>
        <v>2031</v>
      </c>
      <c r="L28" s="265">
        <f t="shared" si="14"/>
        <v>2032</v>
      </c>
      <c r="M28" s="265">
        <f t="shared" si="14"/>
        <v>2033</v>
      </c>
      <c r="N28" s="265">
        <f t="shared" si="14"/>
        <v>2034</v>
      </c>
      <c r="O28" s="265">
        <f t="shared" si="14"/>
        <v>2035</v>
      </c>
      <c r="P28" s="265">
        <f t="shared" si="14"/>
        <v>2036</v>
      </c>
      <c r="Q28" s="265">
        <f t="shared" si="14"/>
        <v>2037</v>
      </c>
      <c r="R28" s="265">
        <f t="shared" si="14"/>
        <v>2038</v>
      </c>
      <c r="S28" s="265">
        <f t="shared" si="14"/>
        <v>2039</v>
      </c>
      <c r="T28" s="265">
        <f t="shared" si="14"/>
        <v>2040</v>
      </c>
      <c r="U28" s="265">
        <f t="shared" si="14"/>
        <v>2041</v>
      </c>
      <c r="V28" s="265">
        <f t="shared" si="14"/>
        <v>2042</v>
      </c>
      <c r="W28" s="265">
        <f t="shared" si="14"/>
        <v>2043</v>
      </c>
      <c r="X28" s="265">
        <f t="shared" si="14"/>
        <v>2044</v>
      </c>
      <c r="Y28" s="265">
        <f t="shared" si="14"/>
        <v>2045</v>
      </c>
      <c r="Z28" s="265">
        <f t="shared" si="14"/>
        <v>2046</v>
      </c>
      <c r="AA28" s="265">
        <f t="shared" si="14"/>
        <v>2047</v>
      </c>
      <c r="AB28" s="265">
        <f t="shared" si="14"/>
        <v>2048</v>
      </c>
      <c r="AC28" s="265">
        <f t="shared" si="14"/>
        <v>2049</v>
      </c>
      <c r="AD28" s="265">
        <f t="shared" si="14"/>
        <v>2050</v>
      </c>
      <c r="AE28" s="265">
        <f t="shared" si="14"/>
        <v>2051</v>
      </c>
      <c r="AF28" s="265">
        <f t="shared" si="14"/>
        <v>2052</v>
      </c>
      <c r="AG28" s="265">
        <f t="shared" si="14"/>
        <v>2053</v>
      </c>
      <c r="AH28" s="265">
        <f t="shared" ref="AH28:AL28" si="15">AH4</f>
        <v>2054</v>
      </c>
      <c r="AI28" s="265">
        <f t="shared" si="15"/>
        <v>2055</v>
      </c>
      <c r="AJ28" s="265">
        <f t="shared" si="15"/>
        <v>2056</v>
      </c>
      <c r="AK28" s="265">
        <f t="shared" si="15"/>
        <v>2057</v>
      </c>
      <c r="AL28" s="265">
        <f t="shared" si="15"/>
        <v>2058</v>
      </c>
    </row>
    <row r="29" spans="2:38" x14ac:dyDescent="0.2">
      <c r="B29" s="260" t="s">
        <v>400</v>
      </c>
      <c r="C29" s="266">
        <f t="shared" ref="C29:C35" si="16">SUM(D29:AL29)</f>
        <v>0</v>
      </c>
      <c r="D29" s="266">
        <f t="shared" ref="D29:AG29" si="17">D5-D17</f>
        <v>0</v>
      </c>
      <c r="E29" s="266">
        <f t="shared" si="17"/>
        <v>0</v>
      </c>
      <c r="F29" s="266">
        <f t="shared" si="17"/>
        <v>0</v>
      </c>
      <c r="G29" s="266">
        <f t="shared" si="17"/>
        <v>0</v>
      </c>
      <c r="H29" s="266">
        <f t="shared" si="17"/>
        <v>0</v>
      </c>
      <c r="I29" s="266">
        <f t="shared" si="17"/>
        <v>0</v>
      </c>
      <c r="J29" s="266">
        <f t="shared" si="17"/>
        <v>0</v>
      </c>
      <c r="K29" s="266">
        <f t="shared" si="17"/>
        <v>0</v>
      </c>
      <c r="L29" s="266">
        <f t="shared" si="17"/>
        <v>0</v>
      </c>
      <c r="M29" s="266">
        <f t="shared" si="17"/>
        <v>0</v>
      </c>
      <c r="N29" s="266">
        <f t="shared" si="17"/>
        <v>0</v>
      </c>
      <c r="O29" s="266">
        <f t="shared" si="17"/>
        <v>0</v>
      </c>
      <c r="P29" s="266">
        <f t="shared" si="17"/>
        <v>0</v>
      </c>
      <c r="Q29" s="266">
        <f t="shared" si="17"/>
        <v>0</v>
      </c>
      <c r="R29" s="266">
        <f t="shared" si="17"/>
        <v>0</v>
      </c>
      <c r="S29" s="266">
        <f t="shared" si="17"/>
        <v>0</v>
      </c>
      <c r="T29" s="266">
        <f t="shared" si="17"/>
        <v>0</v>
      </c>
      <c r="U29" s="266">
        <f t="shared" si="17"/>
        <v>0</v>
      </c>
      <c r="V29" s="266">
        <f t="shared" si="17"/>
        <v>0</v>
      </c>
      <c r="W29" s="266">
        <f t="shared" si="17"/>
        <v>0</v>
      </c>
      <c r="X29" s="266">
        <f t="shared" si="17"/>
        <v>0</v>
      </c>
      <c r="Y29" s="266">
        <f t="shared" si="17"/>
        <v>0</v>
      </c>
      <c r="Z29" s="266">
        <f t="shared" si="17"/>
        <v>0</v>
      </c>
      <c r="AA29" s="266">
        <f t="shared" si="17"/>
        <v>0</v>
      </c>
      <c r="AB29" s="266">
        <f t="shared" si="17"/>
        <v>0</v>
      </c>
      <c r="AC29" s="266">
        <f t="shared" si="17"/>
        <v>0</v>
      </c>
      <c r="AD29" s="266">
        <f t="shared" si="17"/>
        <v>0</v>
      </c>
      <c r="AE29" s="266">
        <f t="shared" si="17"/>
        <v>0</v>
      </c>
      <c r="AF29" s="266">
        <f t="shared" si="17"/>
        <v>0</v>
      </c>
      <c r="AG29" s="266">
        <f t="shared" si="17"/>
        <v>0</v>
      </c>
      <c r="AH29" s="266">
        <f t="shared" ref="AH29:AL29" si="18">AH5-AH17</f>
        <v>0</v>
      </c>
      <c r="AI29" s="266">
        <f t="shared" si="18"/>
        <v>0</v>
      </c>
      <c r="AJ29" s="266">
        <f t="shared" si="18"/>
        <v>0</v>
      </c>
      <c r="AK29" s="266">
        <f t="shared" si="18"/>
        <v>0</v>
      </c>
      <c r="AL29" s="266">
        <f t="shared" si="18"/>
        <v>0</v>
      </c>
    </row>
    <row r="30" spans="2:38" x14ac:dyDescent="0.2">
      <c r="B30" s="260" t="s">
        <v>401</v>
      </c>
      <c r="C30" s="266">
        <f t="shared" si="16"/>
        <v>27930611.180222571</v>
      </c>
      <c r="D30" s="266">
        <f t="shared" ref="D30:AG30" si="19">D6-D18</f>
        <v>0</v>
      </c>
      <c r="E30" s="266">
        <f t="shared" si="19"/>
        <v>0</v>
      </c>
      <c r="F30" s="266">
        <f t="shared" si="19"/>
        <v>0</v>
      </c>
      <c r="G30" s="266">
        <f t="shared" si="19"/>
        <v>883194.74468111992</v>
      </c>
      <c r="H30" s="266">
        <f t="shared" si="19"/>
        <v>883194.74468111992</v>
      </c>
      <c r="I30" s="266">
        <f t="shared" si="19"/>
        <v>883194.74468111992</v>
      </c>
      <c r="J30" s="266">
        <f t="shared" si="19"/>
        <v>883194.74468111992</v>
      </c>
      <c r="K30" s="266">
        <f t="shared" si="19"/>
        <v>883194.74468113482</v>
      </c>
      <c r="L30" s="266">
        <f t="shared" si="19"/>
        <v>883194.74468111992</v>
      </c>
      <c r="M30" s="266">
        <f t="shared" si="19"/>
        <v>883194.74468111992</v>
      </c>
      <c r="N30" s="266">
        <f t="shared" si="19"/>
        <v>883194.74468111992</v>
      </c>
      <c r="O30" s="266">
        <f t="shared" si="19"/>
        <v>883194.74468113482</v>
      </c>
      <c r="P30" s="266">
        <f t="shared" si="19"/>
        <v>883194.74468113482</v>
      </c>
      <c r="Q30" s="266">
        <f t="shared" si="19"/>
        <v>883194.74468114972</v>
      </c>
      <c r="R30" s="266">
        <f t="shared" si="19"/>
        <v>883194.74468113482</v>
      </c>
      <c r="S30" s="266">
        <f t="shared" si="19"/>
        <v>883194.74468113482</v>
      </c>
      <c r="T30" s="266">
        <f t="shared" si="19"/>
        <v>881428.35519178212</v>
      </c>
      <c r="U30" s="266">
        <f t="shared" si="19"/>
        <v>879665.49848139286</v>
      </c>
      <c r="V30" s="266">
        <f t="shared" si="19"/>
        <v>877906.16748441756</v>
      </c>
      <c r="W30" s="266">
        <f t="shared" si="19"/>
        <v>876150.35514947772</v>
      </c>
      <c r="X30" s="266">
        <f t="shared" si="19"/>
        <v>874398.05443914235</v>
      </c>
      <c r="Y30" s="266">
        <f t="shared" si="19"/>
        <v>872649.25833027065</v>
      </c>
      <c r="Z30" s="266">
        <f t="shared" si="19"/>
        <v>870903.95981360972</v>
      </c>
      <c r="AA30" s="266">
        <f t="shared" si="19"/>
        <v>869162.15189398825</v>
      </c>
      <c r="AB30" s="266">
        <f t="shared" si="19"/>
        <v>867423.82759019732</v>
      </c>
      <c r="AC30" s="266">
        <f t="shared" si="19"/>
        <v>865688.97993503511</v>
      </c>
      <c r="AD30" s="266">
        <f t="shared" si="19"/>
        <v>863957.60197514296</v>
      </c>
      <c r="AE30" s="266">
        <f t="shared" si="19"/>
        <v>862229.68677121401</v>
      </c>
      <c r="AF30" s="266">
        <f t="shared" si="19"/>
        <v>860505.22739768028</v>
      </c>
      <c r="AG30" s="266">
        <f t="shared" si="19"/>
        <v>858784.21694287658</v>
      </c>
      <c r="AH30" s="266">
        <f t="shared" ref="AH30:AL30" si="20">AH6-AH18</f>
        <v>857066.64850899577</v>
      </c>
      <c r="AI30" s="266">
        <f t="shared" si="20"/>
        <v>855352.51521193981</v>
      </c>
      <c r="AJ30" s="266">
        <f t="shared" si="20"/>
        <v>853641.81018152833</v>
      </c>
      <c r="AK30" s="266">
        <f t="shared" si="20"/>
        <v>851934.52656117082</v>
      </c>
      <c r="AL30" s="266">
        <f t="shared" si="20"/>
        <v>850230.65750804543</v>
      </c>
    </row>
    <row r="31" spans="2:38" x14ac:dyDescent="0.2">
      <c r="B31" s="260" t="s">
        <v>402</v>
      </c>
      <c r="C31" s="266">
        <f t="shared" si="16"/>
        <v>15234268.453828134</v>
      </c>
      <c r="D31" s="266">
        <f t="shared" ref="D31:AG31" si="21">D7-D19</f>
        <v>0</v>
      </c>
      <c r="E31" s="266">
        <f t="shared" si="21"/>
        <v>0</v>
      </c>
      <c r="F31" s="266">
        <f t="shared" si="21"/>
        <v>0</v>
      </c>
      <c r="G31" s="266">
        <f t="shared" si="21"/>
        <v>481723.28742342442</v>
      </c>
      <c r="H31" s="266">
        <f t="shared" si="21"/>
        <v>481723.28742343932</v>
      </c>
      <c r="I31" s="266">
        <f t="shared" si="21"/>
        <v>481723.28742343932</v>
      </c>
      <c r="J31" s="266">
        <f t="shared" si="21"/>
        <v>481723.28742343187</v>
      </c>
      <c r="K31" s="266">
        <f t="shared" si="21"/>
        <v>481723.28742343932</v>
      </c>
      <c r="L31" s="266">
        <f t="shared" si="21"/>
        <v>481723.28742342442</v>
      </c>
      <c r="M31" s="266">
        <f t="shared" si="21"/>
        <v>481723.28742343187</v>
      </c>
      <c r="N31" s="266">
        <f t="shared" si="21"/>
        <v>481723.28742343187</v>
      </c>
      <c r="O31" s="266">
        <f t="shared" si="21"/>
        <v>481723.28742343932</v>
      </c>
      <c r="P31" s="266">
        <f t="shared" si="21"/>
        <v>481723.28742343932</v>
      </c>
      <c r="Q31" s="266">
        <f t="shared" si="21"/>
        <v>481723.28742343932</v>
      </c>
      <c r="R31" s="266">
        <f t="shared" si="21"/>
        <v>481723.28742343187</v>
      </c>
      <c r="S31" s="266">
        <f t="shared" si="21"/>
        <v>481723.28742343932</v>
      </c>
      <c r="T31" s="266">
        <f t="shared" si="21"/>
        <v>480759.84084858745</v>
      </c>
      <c r="U31" s="266">
        <f t="shared" si="21"/>
        <v>479798.32116689533</v>
      </c>
      <c r="V31" s="266">
        <f t="shared" si="21"/>
        <v>478838.72452455014</v>
      </c>
      <c r="W31" s="266">
        <f t="shared" si="21"/>
        <v>477881.04707552493</v>
      </c>
      <c r="X31" s="266">
        <f t="shared" si="21"/>
        <v>476925.28498134762</v>
      </c>
      <c r="Y31" s="266">
        <f t="shared" si="21"/>
        <v>475971.43441139162</v>
      </c>
      <c r="Z31" s="266">
        <f t="shared" si="21"/>
        <v>475019.49154256284</v>
      </c>
      <c r="AA31" s="266">
        <f t="shared" si="21"/>
        <v>474069.45255947113</v>
      </c>
      <c r="AB31" s="266">
        <f t="shared" si="21"/>
        <v>473121.31365436316</v>
      </c>
      <c r="AC31" s="266">
        <f t="shared" si="21"/>
        <v>472175.07102707028</v>
      </c>
      <c r="AD31" s="266">
        <f t="shared" si="21"/>
        <v>471230.72088499367</v>
      </c>
      <c r="AE31" s="266">
        <f t="shared" si="21"/>
        <v>470288.25944325328</v>
      </c>
      <c r="AF31" s="266">
        <f t="shared" si="21"/>
        <v>469347.68292436004</v>
      </c>
      <c r="AG31" s="266">
        <f t="shared" si="21"/>
        <v>468408.98755851388</v>
      </c>
      <c r="AH31" s="266">
        <f t="shared" ref="AH31:AL31" si="22">AH7-AH19</f>
        <v>467472.16958338022</v>
      </c>
      <c r="AI31" s="266">
        <f t="shared" si="22"/>
        <v>466537.22524420917</v>
      </c>
      <c r="AJ31" s="266">
        <f t="shared" si="22"/>
        <v>465604.15079373121</v>
      </c>
      <c r="AK31" s="266">
        <f t="shared" si="22"/>
        <v>464672.94249212742</v>
      </c>
      <c r="AL31" s="266">
        <f t="shared" si="22"/>
        <v>463743.59660714865</v>
      </c>
    </row>
    <row r="32" spans="2:38" x14ac:dyDescent="0.2">
      <c r="B32" s="260" t="s">
        <v>403</v>
      </c>
      <c r="C32" s="266">
        <f t="shared" si="16"/>
        <v>0</v>
      </c>
      <c r="D32" s="266">
        <f t="shared" ref="D32:AG32" si="23">D8-D20</f>
        <v>0</v>
      </c>
      <c r="E32" s="266">
        <f t="shared" si="23"/>
        <v>0</v>
      </c>
      <c r="F32" s="266">
        <f t="shared" si="23"/>
        <v>0</v>
      </c>
      <c r="G32" s="266">
        <f t="shared" si="23"/>
        <v>0</v>
      </c>
      <c r="H32" s="266">
        <f t="shared" si="23"/>
        <v>0</v>
      </c>
      <c r="I32" s="266">
        <f t="shared" si="23"/>
        <v>0</v>
      </c>
      <c r="J32" s="266">
        <f t="shared" si="23"/>
        <v>0</v>
      </c>
      <c r="K32" s="266">
        <f t="shared" si="23"/>
        <v>0</v>
      </c>
      <c r="L32" s="266">
        <f t="shared" si="23"/>
        <v>0</v>
      </c>
      <c r="M32" s="266">
        <f t="shared" si="23"/>
        <v>0</v>
      </c>
      <c r="N32" s="266">
        <f t="shared" si="23"/>
        <v>0</v>
      </c>
      <c r="O32" s="266">
        <f t="shared" si="23"/>
        <v>0</v>
      </c>
      <c r="P32" s="266">
        <f t="shared" si="23"/>
        <v>0</v>
      </c>
      <c r="Q32" s="266">
        <f t="shared" si="23"/>
        <v>0</v>
      </c>
      <c r="R32" s="266">
        <f t="shared" si="23"/>
        <v>0</v>
      </c>
      <c r="S32" s="266">
        <f t="shared" si="23"/>
        <v>0</v>
      </c>
      <c r="T32" s="266">
        <f t="shared" si="23"/>
        <v>0</v>
      </c>
      <c r="U32" s="266">
        <f t="shared" si="23"/>
        <v>0</v>
      </c>
      <c r="V32" s="266">
        <f t="shared" si="23"/>
        <v>0</v>
      </c>
      <c r="W32" s="266">
        <f t="shared" si="23"/>
        <v>0</v>
      </c>
      <c r="X32" s="266">
        <f t="shared" si="23"/>
        <v>0</v>
      </c>
      <c r="Y32" s="266">
        <f t="shared" si="23"/>
        <v>0</v>
      </c>
      <c r="Z32" s="266">
        <f t="shared" si="23"/>
        <v>0</v>
      </c>
      <c r="AA32" s="266">
        <f t="shared" si="23"/>
        <v>0</v>
      </c>
      <c r="AB32" s="266">
        <f t="shared" si="23"/>
        <v>0</v>
      </c>
      <c r="AC32" s="266">
        <f t="shared" si="23"/>
        <v>0</v>
      </c>
      <c r="AD32" s="266">
        <f t="shared" si="23"/>
        <v>0</v>
      </c>
      <c r="AE32" s="266">
        <f t="shared" si="23"/>
        <v>0</v>
      </c>
      <c r="AF32" s="266">
        <f t="shared" si="23"/>
        <v>0</v>
      </c>
      <c r="AG32" s="266">
        <f t="shared" si="23"/>
        <v>0</v>
      </c>
      <c r="AH32" s="266">
        <f t="shared" ref="AH32:AL32" si="24">AH8-AH20</f>
        <v>0</v>
      </c>
      <c r="AI32" s="266">
        <f t="shared" si="24"/>
        <v>0</v>
      </c>
      <c r="AJ32" s="266">
        <f t="shared" si="24"/>
        <v>0</v>
      </c>
      <c r="AK32" s="266">
        <f t="shared" si="24"/>
        <v>0</v>
      </c>
      <c r="AL32" s="266">
        <f t="shared" si="24"/>
        <v>0</v>
      </c>
    </row>
    <row r="33" spans="2:38" x14ac:dyDescent="0.2">
      <c r="B33" s="260" t="s">
        <v>404</v>
      </c>
      <c r="C33" s="266">
        <f t="shared" si="16"/>
        <v>0</v>
      </c>
      <c r="D33" s="266">
        <f t="shared" ref="D33:AG33" si="25">D9-D21</f>
        <v>0</v>
      </c>
      <c r="E33" s="266">
        <f t="shared" si="25"/>
        <v>0</v>
      </c>
      <c r="F33" s="266">
        <f t="shared" si="25"/>
        <v>0</v>
      </c>
      <c r="G33" s="266">
        <f t="shared" si="25"/>
        <v>0</v>
      </c>
      <c r="H33" s="266">
        <f t="shared" si="25"/>
        <v>0</v>
      </c>
      <c r="I33" s="266">
        <f t="shared" si="25"/>
        <v>0</v>
      </c>
      <c r="J33" s="266">
        <f t="shared" si="25"/>
        <v>0</v>
      </c>
      <c r="K33" s="266">
        <f t="shared" si="25"/>
        <v>0</v>
      </c>
      <c r="L33" s="266">
        <f t="shared" si="25"/>
        <v>0</v>
      </c>
      <c r="M33" s="266">
        <f t="shared" si="25"/>
        <v>0</v>
      </c>
      <c r="N33" s="266">
        <f t="shared" si="25"/>
        <v>0</v>
      </c>
      <c r="O33" s="266">
        <f t="shared" si="25"/>
        <v>0</v>
      </c>
      <c r="P33" s="266">
        <f t="shared" si="25"/>
        <v>0</v>
      </c>
      <c r="Q33" s="266">
        <f t="shared" si="25"/>
        <v>0</v>
      </c>
      <c r="R33" s="266">
        <f t="shared" si="25"/>
        <v>0</v>
      </c>
      <c r="S33" s="266">
        <f t="shared" si="25"/>
        <v>0</v>
      </c>
      <c r="T33" s="266">
        <f t="shared" si="25"/>
        <v>0</v>
      </c>
      <c r="U33" s="266">
        <f t="shared" si="25"/>
        <v>0</v>
      </c>
      <c r="V33" s="266">
        <f t="shared" si="25"/>
        <v>0</v>
      </c>
      <c r="W33" s="266">
        <f t="shared" si="25"/>
        <v>0</v>
      </c>
      <c r="X33" s="266">
        <f t="shared" si="25"/>
        <v>0</v>
      </c>
      <c r="Y33" s="266">
        <f t="shared" si="25"/>
        <v>0</v>
      </c>
      <c r="Z33" s="266">
        <f t="shared" si="25"/>
        <v>0</v>
      </c>
      <c r="AA33" s="266">
        <f t="shared" si="25"/>
        <v>0</v>
      </c>
      <c r="AB33" s="266">
        <f t="shared" si="25"/>
        <v>0</v>
      </c>
      <c r="AC33" s="266">
        <f t="shared" si="25"/>
        <v>0</v>
      </c>
      <c r="AD33" s="266">
        <f t="shared" si="25"/>
        <v>0</v>
      </c>
      <c r="AE33" s="266">
        <f t="shared" si="25"/>
        <v>0</v>
      </c>
      <c r="AF33" s="266">
        <f t="shared" si="25"/>
        <v>0</v>
      </c>
      <c r="AG33" s="266">
        <f t="shared" si="25"/>
        <v>0</v>
      </c>
      <c r="AH33" s="266">
        <f t="shared" ref="AH33:AL33" si="26">AH9-AH21</f>
        <v>0</v>
      </c>
      <c r="AI33" s="266">
        <f t="shared" si="26"/>
        <v>0</v>
      </c>
      <c r="AJ33" s="266">
        <f t="shared" si="26"/>
        <v>0</v>
      </c>
      <c r="AK33" s="266">
        <f t="shared" si="26"/>
        <v>0</v>
      </c>
      <c r="AL33" s="266">
        <f t="shared" si="26"/>
        <v>0</v>
      </c>
    </row>
    <row r="34" spans="2:38" x14ac:dyDescent="0.2">
      <c r="B34" s="260" t="s">
        <v>405</v>
      </c>
      <c r="C34" s="266">
        <f t="shared" si="16"/>
        <v>0</v>
      </c>
      <c r="D34" s="266">
        <f t="shared" ref="D34:AG34" si="27">D10-D22</f>
        <v>0</v>
      </c>
      <c r="E34" s="266">
        <f t="shared" si="27"/>
        <v>0</v>
      </c>
      <c r="F34" s="266">
        <f t="shared" si="27"/>
        <v>0</v>
      </c>
      <c r="G34" s="266">
        <f t="shared" si="27"/>
        <v>0</v>
      </c>
      <c r="H34" s="266">
        <f t="shared" si="27"/>
        <v>0</v>
      </c>
      <c r="I34" s="266">
        <f t="shared" si="27"/>
        <v>0</v>
      </c>
      <c r="J34" s="266">
        <f t="shared" si="27"/>
        <v>0</v>
      </c>
      <c r="K34" s="266">
        <f t="shared" si="27"/>
        <v>0</v>
      </c>
      <c r="L34" s="266">
        <f t="shared" si="27"/>
        <v>0</v>
      </c>
      <c r="M34" s="266">
        <f t="shared" si="27"/>
        <v>0</v>
      </c>
      <c r="N34" s="266">
        <f t="shared" si="27"/>
        <v>0</v>
      </c>
      <c r="O34" s="266">
        <f t="shared" si="27"/>
        <v>0</v>
      </c>
      <c r="P34" s="266">
        <f t="shared" si="27"/>
        <v>0</v>
      </c>
      <c r="Q34" s="266">
        <f t="shared" si="27"/>
        <v>0</v>
      </c>
      <c r="R34" s="266">
        <f t="shared" si="27"/>
        <v>0</v>
      </c>
      <c r="S34" s="266">
        <f t="shared" si="27"/>
        <v>0</v>
      </c>
      <c r="T34" s="266">
        <f t="shared" si="27"/>
        <v>0</v>
      </c>
      <c r="U34" s="266">
        <f t="shared" si="27"/>
        <v>0</v>
      </c>
      <c r="V34" s="266">
        <f t="shared" si="27"/>
        <v>0</v>
      </c>
      <c r="W34" s="266">
        <f t="shared" si="27"/>
        <v>0</v>
      </c>
      <c r="X34" s="266">
        <f t="shared" si="27"/>
        <v>0</v>
      </c>
      <c r="Y34" s="266">
        <f t="shared" si="27"/>
        <v>0</v>
      </c>
      <c r="Z34" s="266">
        <f t="shared" si="27"/>
        <v>0</v>
      </c>
      <c r="AA34" s="266">
        <f t="shared" si="27"/>
        <v>0</v>
      </c>
      <c r="AB34" s="266">
        <f t="shared" si="27"/>
        <v>0</v>
      </c>
      <c r="AC34" s="266">
        <f t="shared" si="27"/>
        <v>0</v>
      </c>
      <c r="AD34" s="266">
        <f t="shared" si="27"/>
        <v>0</v>
      </c>
      <c r="AE34" s="266">
        <f t="shared" si="27"/>
        <v>0</v>
      </c>
      <c r="AF34" s="266">
        <f t="shared" si="27"/>
        <v>0</v>
      </c>
      <c r="AG34" s="266">
        <f t="shared" si="27"/>
        <v>0</v>
      </c>
      <c r="AH34" s="266">
        <f t="shared" ref="AH34:AL34" si="28">AH10-AH22</f>
        <v>0</v>
      </c>
      <c r="AI34" s="266">
        <f t="shared" si="28"/>
        <v>0</v>
      </c>
      <c r="AJ34" s="266">
        <f t="shared" si="28"/>
        <v>0</v>
      </c>
      <c r="AK34" s="266">
        <f t="shared" si="28"/>
        <v>0</v>
      </c>
      <c r="AL34" s="266">
        <f t="shared" si="28"/>
        <v>0</v>
      </c>
    </row>
    <row r="35" spans="2:38" x14ac:dyDescent="0.2">
      <c r="B35" s="270" t="s">
        <v>59</v>
      </c>
      <c r="C35" s="271">
        <f t="shared" si="16"/>
        <v>43164879.634050705</v>
      </c>
      <c r="D35" s="275">
        <f t="shared" ref="D35:AG35" si="29">SUM(D29:D34)</f>
        <v>0</v>
      </c>
      <c r="E35" s="271">
        <f t="shared" si="29"/>
        <v>0</v>
      </c>
      <c r="F35" s="271">
        <f t="shared" si="29"/>
        <v>0</v>
      </c>
      <c r="G35" s="271">
        <f t="shared" si="29"/>
        <v>1364918.0321045443</v>
      </c>
      <c r="H35" s="271">
        <f t="shared" si="29"/>
        <v>1364918.0321045592</v>
      </c>
      <c r="I35" s="271">
        <f t="shared" si="29"/>
        <v>1364918.0321045592</v>
      </c>
      <c r="J35" s="271">
        <f t="shared" si="29"/>
        <v>1364918.0321045518</v>
      </c>
      <c r="K35" s="271">
        <f t="shared" si="29"/>
        <v>1364918.0321045741</v>
      </c>
      <c r="L35" s="271">
        <f t="shared" si="29"/>
        <v>1364918.0321045443</v>
      </c>
      <c r="M35" s="271">
        <f t="shared" si="29"/>
        <v>1364918.0321045518</v>
      </c>
      <c r="N35" s="271">
        <f t="shared" si="29"/>
        <v>1364918.0321045518</v>
      </c>
      <c r="O35" s="271">
        <f t="shared" si="29"/>
        <v>1364918.0321045741</v>
      </c>
      <c r="P35" s="271">
        <f t="shared" si="29"/>
        <v>1364918.0321045741</v>
      </c>
      <c r="Q35" s="271">
        <f t="shared" si="29"/>
        <v>1364918.032104589</v>
      </c>
      <c r="R35" s="271">
        <f t="shared" si="29"/>
        <v>1364918.0321045667</v>
      </c>
      <c r="S35" s="271">
        <f t="shared" si="29"/>
        <v>1364918.0321045741</v>
      </c>
      <c r="T35" s="271">
        <f t="shared" si="29"/>
        <v>1362188.1960403696</v>
      </c>
      <c r="U35" s="271">
        <f t="shared" si="29"/>
        <v>1359463.8196482882</v>
      </c>
      <c r="V35" s="271">
        <f t="shared" si="29"/>
        <v>1356744.8920089677</v>
      </c>
      <c r="W35" s="271">
        <f t="shared" si="29"/>
        <v>1354031.4022250026</v>
      </c>
      <c r="X35" s="271">
        <f t="shared" si="29"/>
        <v>1351323.33942049</v>
      </c>
      <c r="Y35" s="271">
        <f t="shared" si="29"/>
        <v>1348620.6927416623</v>
      </c>
      <c r="Z35" s="271">
        <f t="shared" si="29"/>
        <v>1345923.4513561726</v>
      </c>
      <c r="AA35" s="271">
        <f t="shared" si="29"/>
        <v>1343231.6044534594</v>
      </c>
      <c r="AB35" s="271">
        <f t="shared" si="29"/>
        <v>1340545.1412445605</v>
      </c>
      <c r="AC35" s="271">
        <f t="shared" si="29"/>
        <v>1337864.0509621054</v>
      </c>
      <c r="AD35" s="271">
        <f t="shared" si="29"/>
        <v>1335188.3228601366</v>
      </c>
      <c r="AE35" s="271">
        <f t="shared" si="29"/>
        <v>1332517.9462144673</v>
      </c>
      <c r="AF35" s="271">
        <f t="shared" si="29"/>
        <v>1329852.9103220403</v>
      </c>
      <c r="AG35" s="271">
        <f t="shared" si="29"/>
        <v>1327193.2045013905</v>
      </c>
      <c r="AH35" s="271">
        <f t="shared" ref="AH35:AL35" si="30">SUM(AH29:AH34)</f>
        <v>1324538.818092376</v>
      </c>
      <c r="AI35" s="271">
        <f t="shared" si="30"/>
        <v>1321889.740456149</v>
      </c>
      <c r="AJ35" s="271">
        <f t="shared" si="30"/>
        <v>1319245.9609752595</v>
      </c>
      <c r="AK35" s="271">
        <f t="shared" si="30"/>
        <v>1316607.4690532982</v>
      </c>
      <c r="AL35" s="271">
        <f t="shared" si="30"/>
        <v>1313974.2541151941</v>
      </c>
    </row>
    <row r="38" spans="2:38" x14ac:dyDescent="0.2">
      <c r="B38" s="276"/>
      <c r="C38" s="260"/>
      <c r="D38" s="260" t="s">
        <v>10</v>
      </c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260"/>
      <c r="AG38" s="260"/>
      <c r="AH38" s="260"/>
      <c r="AI38" s="260"/>
      <c r="AJ38" s="260"/>
      <c r="AK38" s="260"/>
      <c r="AL38" s="260"/>
    </row>
    <row r="39" spans="2:38" x14ac:dyDescent="0.2">
      <c r="B39" s="767" t="s">
        <v>454</v>
      </c>
      <c r="C39" s="261"/>
      <c r="D39" s="262">
        <v>1</v>
      </c>
      <c r="E39" s="262">
        <v>2</v>
      </c>
      <c r="F39" s="262">
        <v>3</v>
      </c>
      <c r="G39" s="262">
        <v>4</v>
      </c>
      <c r="H39" s="262">
        <v>5</v>
      </c>
      <c r="I39" s="262">
        <v>6</v>
      </c>
      <c r="J39" s="262">
        <v>7</v>
      </c>
      <c r="K39" s="262">
        <v>8</v>
      </c>
      <c r="L39" s="262">
        <v>9</v>
      </c>
      <c r="M39" s="262">
        <v>10</v>
      </c>
      <c r="N39" s="262">
        <v>11</v>
      </c>
      <c r="O39" s="262">
        <v>12</v>
      </c>
      <c r="P39" s="262">
        <v>13</v>
      </c>
      <c r="Q39" s="262">
        <v>14</v>
      </c>
      <c r="R39" s="262">
        <v>15</v>
      </c>
      <c r="S39" s="262">
        <v>16</v>
      </c>
      <c r="T39" s="262">
        <v>17</v>
      </c>
      <c r="U39" s="262">
        <v>18</v>
      </c>
      <c r="V39" s="262">
        <v>19</v>
      </c>
      <c r="W39" s="262">
        <v>20</v>
      </c>
      <c r="X39" s="262">
        <v>21</v>
      </c>
      <c r="Y39" s="262">
        <v>22</v>
      </c>
      <c r="Z39" s="262">
        <v>23</v>
      </c>
      <c r="AA39" s="262">
        <v>24</v>
      </c>
      <c r="AB39" s="262">
        <v>25</v>
      </c>
      <c r="AC39" s="262">
        <v>26</v>
      </c>
      <c r="AD39" s="262">
        <v>27</v>
      </c>
      <c r="AE39" s="262">
        <v>28</v>
      </c>
      <c r="AF39" s="262">
        <v>29</v>
      </c>
      <c r="AG39" s="262">
        <v>30</v>
      </c>
      <c r="AH39" s="262">
        <v>31</v>
      </c>
      <c r="AI39" s="262">
        <v>32</v>
      </c>
      <c r="AJ39" s="262">
        <v>33</v>
      </c>
      <c r="AK39" s="262">
        <v>34</v>
      </c>
      <c r="AL39" s="262">
        <v>35</v>
      </c>
    </row>
    <row r="40" spans="2:38" x14ac:dyDescent="0.2">
      <c r="B40" s="768"/>
      <c r="C40" s="264" t="s">
        <v>9</v>
      </c>
      <c r="D40" s="265">
        <f t="shared" ref="D40:AG40" si="31">D4</f>
        <v>2024</v>
      </c>
      <c r="E40" s="265">
        <f t="shared" si="31"/>
        <v>2025</v>
      </c>
      <c r="F40" s="265">
        <f t="shared" si="31"/>
        <v>2026</v>
      </c>
      <c r="G40" s="265">
        <f t="shared" si="31"/>
        <v>2027</v>
      </c>
      <c r="H40" s="265">
        <f t="shared" si="31"/>
        <v>2028</v>
      </c>
      <c r="I40" s="265">
        <f t="shared" si="31"/>
        <v>2029</v>
      </c>
      <c r="J40" s="265">
        <f t="shared" si="31"/>
        <v>2030</v>
      </c>
      <c r="K40" s="265">
        <f t="shared" si="31"/>
        <v>2031</v>
      </c>
      <c r="L40" s="265">
        <f t="shared" si="31"/>
        <v>2032</v>
      </c>
      <c r="M40" s="265">
        <f t="shared" si="31"/>
        <v>2033</v>
      </c>
      <c r="N40" s="265">
        <f t="shared" si="31"/>
        <v>2034</v>
      </c>
      <c r="O40" s="265">
        <f t="shared" si="31"/>
        <v>2035</v>
      </c>
      <c r="P40" s="265">
        <f t="shared" si="31"/>
        <v>2036</v>
      </c>
      <c r="Q40" s="265">
        <f t="shared" si="31"/>
        <v>2037</v>
      </c>
      <c r="R40" s="265">
        <f t="shared" si="31"/>
        <v>2038</v>
      </c>
      <c r="S40" s="265">
        <f t="shared" si="31"/>
        <v>2039</v>
      </c>
      <c r="T40" s="265">
        <f t="shared" si="31"/>
        <v>2040</v>
      </c>
      <c r="U40" s="265">
        <f t="shared" si="31"/>
        <v>2041</v>
      </c>
      <c r="V40" s="265">
        <f t="shared" si="31"/>
        <v>2042</v>
      </c>
      <c r="W40" s="265">
        <f t="shared" si="31"/>
        <v>2043</v>
      </c>
      <c r="X40" s="265">
        <f t="shared" si="31"/>
        <v>2044</v>
      </c>
      <c r="Y40" s="265">
        <f t="shared" si="31"/>
        <v>2045</v>
      </c>
      <c r="Z40" s="265">
        <f t="shared" si="31"/>
        <v>2046</v>
      </c>
      <c r="AA40" s="265">
        <f t="shared" si="31"/>
        <v>2047</v>
      </c>
      <c r="AB40" s="265">
        <f t="shared" si="31"/>
        <v>2048</v>
      </c>
      <c r="AC40" s="265">
        <f t="shared" si="31"/>
        <v>2049</v>
      </c>
      <c r="AD40" s="265">
        <f t="shared" si="31"/>
        <v>2050</v>
      </c>
      <c r="AE40" s="265">
        <f t="shared" si="31"/>
        <v>2051</v>
      </c>
      <c r="AF40" s="265">
        <f t="shared" si="31"/>
        <v>2052</v>
      </c>
      <c r="AG40" s="265">
        <f t="shared" si="31"/>
        <v>2053</v>
      </c>
      <c r="AH40" s="265">
        <f t="shared" ref="AH40:AL40" si="32">AH4</f>
        <v>2054</v>
      </c>
      <c r="AI40" s="265">
        <f t="shared" si="32"/>
        <v>2055</v>
      </c>
      <c r="AJ40" s="265">
        <f t="shared" si="32"/>
        <v>2056</v>
      </c>
      <c r="AK40" s="265">
        <f t="shared" si="32"/>
        <v>2057</v>
      </c>
      <c r="AL40" s="265">
        <f t="shared" si="32"/>
        <v>2058</v>
      </c>
    </row>
    <row r="41" spans="2:38" x14ac:dyDescent="0.2">
      <c r="B41" s="260" t="s">
        <v>400</v>
      </c>
      <c r="C41" s="266">
        <f t="shared" ref="C41:C47" si="33">SUM(D41:AL41)</f>
        <v>0</v>
      </c>
      <c r="D41" s="266">
        <f>D29*Parametre!C235</f>
        <v>0</v>
      </c>
      <c r="E41" s="266">
        <f>E29*Parametre!D235</f>
        <v>0</v>
      </c>
      <c r="F41" s="266">
        <f>F29*Parametre!E235</f>
        <v>0</v>
      </c>
      <c r="G41" s="266">
        <f>G29*Parametre!F235</f>
        <v>0</v>
      </c>
      <c r="H41" s="266">
        <f>H29*Parametre!G235</f>
        <v>0</v>
      </c>
      <c r="I41" s="266">
        <f>I29*Parametre!H235</f>
        <v>0</v>
      </c>
      <c r="J41" s="266">
        <f>J29*Parametre!I235</f>
        <v>0</v>
      </c>
      <c r="K41" s="266">
        <f>K29*Parametre!J235</f>
        <v>0</v>
      </c>
      <c r="L41" s="266">
        <f>L29*Parametre!K235</f>
        <v>0</v>
      </c>
      <c r="M41" s="266">
        <f>M29*Parametre!L235</f>
        <v>0</v>
      </c>
      <c r="N41" s="266">
        <f>N29*Parametre!M235</f>
        <v>0</v>
      </c>
      <c r="O41" s="266">
        <f>O29*Parametre!N235</f>
        <v>0</v>
      </c>
      <c r="P41" s="266">
        <f>P29*Parametre!O235</f>
        <v>0</v>
      </c>
      <c r="Q41" s="266">
        <f>Q29*Parametre!P235</f>
        <v>0</v>
      </c>
      <c r="R41" s="266">
        <f>R29*Parametre!Q235</f>
        <v>0</v>
      </c>
      <c r="S41" s="266">
        <f>S29*Parametre!R235</f>
        <v>0</v>
      </c>
      <c r="T41" s="266">
        <f>T29*Parametre!S235</f>
        <v>0</v>
      </c>
      <c r="U41" s="266">
        <f>U29*Parametre!T235</f>
        <v>0</v>
      </c>
      <c r="V41" s="266">
        <f>V29*Parametre!U235</f>
        <v>0</v>
      </c>
      <c r="W41" s="266">
        <f>W29*Parametre!V235</f>
        <v>0</v>
      </c>
      <c r="X41" s="266">
        <f>X29*Parametre!W235</f>
        <v>0</v>
      </c>
      <c r="Y41" s="266">
        <f>Y29*Parametre!X235</f>
        <v>0</v>
      </c>
      <c r="Z41" s="266">
        <f>Z29*Parametre!Y235</f>
        <v>0</v>
      </c>
      <c r="AA41" s="266">
        <f>AA29*Parametre!Z235</f>
        <v>0</v>
      </c>
      <c r="AB41" s="266">
        <f>AB29*Parametre!AA235</f>
        <v>0</v>
      </c>
      <c r="AC41" s="266">
        <f>AC29*Parametre!AB235</f>
        <v>0</v>
      </c>
      <c r="AD41" s="266">
        <f>AD29*Parametre!AC235</f>
        <v>0</v>
      </c>
      <c r="AE41" s="266">
        <f>AE29*Parametre!AD235</f>
        <v>0</v>
      </c>
      <c r="AF41" s="266">
        <f>AF29*Parametre!AE235</f>
        <v>0</v>
      </c>
      <c r="AG41" s="266">
        <f>AG29*Parametre!AF235</f>
        <v>0</v>
      </c>
      <c r="AH41" s="266">
        <f>AH29*Parametre!AG235</f>
        <v>0</v>
      </c>
      <c r="AI41" s="266">
        <f>AI29*Parametre!AH235</f>
        <v>0</v>
      </c>
      <c r="AJ41" s="266">
        <f>AJ29*Parametre!AI235</f>
        <v>0</v>
      </c>
      <c r="AK41" s="266">
        <f>AK29*Parametre!AJ235</f>
        <v>0</v>
      </c>
      <c r="AL41" s="266">
        <f>AL29*Parametre!AK235</f>
        <v>0</v>
      </c>
    </row>
    <row r="42" spans="2:38" x14ac:dyDescent="0.2">
      <c r="B42" s="260" t="s">
        <v>401</v>
      </c>
      <c r="C42" s="266">
        <f t="shared" si="33"/>
        <v>41274.435679413466</v>
      </c>
      <c r="D42" s="266">
        <f>D30*Parametre!C236</f>
        <v>0</v>
      </c>
      <c r="E42" s="266">
        <f>E30*Parametre!D236</f>
        <v>0</v>
      </c>
      <c r="F42" s="266">
        <f>F30*Parametre!E236</f>
        <v>0</v>
      </c>
      <c r="G42" s="266">
        <f>G30*Parametre!F236</f>
        <v>1033.3378512769104</v>
      </c>
      <c r="H42" s="266">
        <f>H30*Parametre!G236</f>
        <v>1051.0017461705327</v>
      </c>
      <c r="I42" s="266">
        <f>I30*Parametre!H236</f>
        <v>1068.6656410641551</v>
      </c>
      <c r="J42" s="266">
        <f>J30*Parametre!I236</f>
        <v>1086.3295359577776</v>
      </c>
      <c r="K42" s="266">
        <f>K30*Parametre!J236</f>
        <v>1103.9934308514185</v>
      </c>
      <c r="L42" s="266">
        <f>L30*Parametre!K236</f>
        <v>1121.6573257450223</v>
      </c>
      <c r="M42" s="266">
        <f>M30*Parametre!L236</f>
        <v>1139.3212206386447</v>
      </c>
      <c r="N42" s="266">
        <f>N30*Parametre!M236</f>
        <v>1156.9851155322672</v>
      </c>
      <c r="O42" s="266">
        <f>O30*Parametre!N236</f>
        <v>1174.6490104259094</v>
      </c>
      <c r="P42" s="266">
        <f>P30*Parametre!O236</f>
        <v>1192.3129053195321</v>
      </c>
      <c r="Q42" s="266">
        <f>Q30*Parametre!P236</f>
        <v>1209.976800213175</v>
      </c>
      <c r="R42" s="266">
        <f>R30*Parametre!Q236</f>
        <v>1227.6406951067775</v>
      </c>
      <c r="S42" s="266">
        <f>S30*Parametre!R236</f>
        <v>1245.3045900004001</v>
      </c>
      <c r="T42" s="266">
        <f>T30*Parametre!S236</f>
        <v>1260.4425479242484</v>
      </c>
      <c r="U42" s="266">
        <f>U30*Parametre!T236</f>
        <v>1275.5149727980195</v>
      </c>
      <c r="V42" s="266">
        <f>V30*Parametre!U236</f>
        <v>1290.5220662020938</v>
      </c>
      <c r="W42" s="266">
        <f>W30*Parametre!V236</f>
        <v>1305.4640291727219</v>
      </c>
      <c r="X42" s="266">
        <f>X30*Parametre!W236</f>
        <v>1320.3410622031049</v>
      </c>
      <c r="Y42" s="266">
        <f>Y30*Parametre!X236</f>
        <v>1335.153365245314</v>
      </c>
      <c r="Z42" s="266">
        <f>Z30*Parametre!Y236</f>
        <v>1349.9011377110951</v>
      </c>
      <c r="AA42" s="266">
        <f>AA30*Parametre!Z236</f>
        <v>1364.5845784735616</v>
      </c>
      <c r="AB42" s="266">
        <f>AB30*Parametre!AA236</f>
        <v>1379.2038858684139</v>
      </c>
      <c r="AC42" s="266">
        <f>AC30*Parametre!AB236</f>
        <v>1393.7592576954066</v>
      </c>
      <c r="AD42" s="266">
        <f>AD30*Parametre!AC236</f>
        <v>1408.250891219483</v>
      </c>
      <c r="AE42" s="266">
        <f>AE30*Parametre!AD236</f>
        <v>1422.6789831725032</v>
      </c>
      <c r="AF42" s="266">
        <f>AF30*Parametre!AE236</f>
        <v>1437.0437297541262</v>
      </c>
      <c r="AG42" s="266">
        <f>AG30*Parametre!AF236</f>
        <v>1451.3453266334616</v>
      </c>
      <c r="AH42" s="266">
        <f>AH30*Parametre!AG236</f>
        <v>1465.5839689503828</v>
      </c>
      <c r="AI42" s="266">
        <f>AI30*Parametre!AH236</f>
        <v>1479.7598513166558</v>
      </c>
      <c r="AJ42" s="266">
        <f>AJ30*Parametre!AI236</f>
        <v>1493.8731678176746</v>
      </c>
      <c r="AK42" s="266">
        <f>AK30*Parametre!AJ236</f>
        <v>1507.9241120132724</v>
      </c>
      <c r="AL42" s="266">
        <f>AL30*Parametre!AK236</f>
        <v>1521.9128769394013</v>
      </c>
    </row>
    <row r="43" spans="2:38" x14ac:dyDescent="0.2">
      <c r="B43" s="260" t="s">
        <v>402</v>
      </c>
      <c r="C43" s="266">
        <f t="shared" si="33"/>
        <v>1523.4268453828133</v>
      </c>
      <c r="D43" s="266">
        <f>D31*Parametre!C237</f>
        <v>0</v>
      </c>
      <c r="E43" s="266">
        <f>E31*Parametre!D237</f>
        <v>0</v>
      </c>
      <c r="F43" s="266">
        <f>F31*Parametre!E237</f>
        <v>0</v>
      </c>
      <c r="G43" s="266">
        <f>G31*Parametre!F237</f>
        <v>48.172328742342444</v>
      </c>
      <c r="H43" s="266">
        <f>H31*Parametre!G237</f>
        <v>48.172328742343936</v>
      </c>
      <c r="I43" s="266">
        <f>I31*Parametre!H237</f>
        <v>48.172328742343936</v>
      </c>
      <c r="J43" s="266">
        <f>J31*Parametre!I237</f>
        <v>48.17232874234319</v>
      </c>
      <c r="K43" s="266">
        <f>K31*Parametre!J237</f>
        <v>48.172328742343936</v>
      </c>
      <c r="L43" s="266">
        <f>L31*Parametre!K237</f>
        <v>48.172328742342444</v>
      </c>
      <c r="M43" s="266">
        <f>M31*Parametre!L237</f>
        <v>48.17232874234319</v>
      </c>
      <c r="N43" s="266">
        <f>N31*Parametre!M237</f>
        <v>48.17232874234319</v>
      </c>
      <c r="O43" s="266">
        <f>O31*Parametre!N237</f>
        <v>48.172328742343936</v>
      </c>
      <c r="P43" s="266">
        <f>P31*Parametre!O237</f>
        <v>48.172328742343936</v>
      </c>
      <c r="Q43" s="266">
        <f>Q31*Parametre!P237</f>
        <v>48.172328742343936</v>
      </c>
      <c r="R43" s="266">
        <f>R31*Parametre!Q237</f>
        <v>48.17232874234319</v>
      </c>
      <c r="S43" s="266">
        <f>S31*Parametre!R237</f>
        <v>48.172328742343936</v>
      </c>
      <c r="T43" s="266">
        <f>T31*Parametre!S237</f>
        <v>48.075984084858746</v>
      </c>
      <c r="U43" s="266">
        <f>U31*Parametre!T237</f>
        <v>47.979832116689536</v>
      </c>
      <c r="V43" s="266">
        <f>V31*Parametre!U237</f>
        <v>47.883872452455016</v>
      </c>
      <c r="W43" s="266">
        <f>W31*Parametre!V237</f>
        <v>47.788104707552492</v>
      </c>
      <c r="X43" s="266">
        <f>X31*Parametre!W237</f>
        <v>47.692528498134763</v>
      </c>
      <c r="Y43" s="266">
        <f>Y31*Parametre!X237</f>
        <v>47.597143441139167</v>
      </c>
      <c r="Z43" s="266">
        <f>Z31*Parametre!Y237</f>
        <v>47.501949154256287</v>
      </c>
      <c r="AA43" s="266">
        <f>AA31*Parametre!Z237</f>
        <v>47.406945255947115</v>
      </c>
      <c r="AB43" s="266">
        <f>AB31*Parametre!AA237</f>
        <v>47.312131365436315</v>
      </c>
      <c r="AC43" s="266">
        <f>AC31*Parametre!AB237</f>
        <v>47.217507102707032</v>
      </c>
      <c r="AD43" s="266">
        <f>AD31*Parametre!AC237</f>
        <v>47.12307208849937</v>
      </c>
      <c r="AE43" s="266">
        <f>AE31*Parametre!AD237</f>
        <v>47.028825944325327</v>
      </c>
      <c r="AF43" s="266">
        <f>AF31*Parametre!AE237</f>
        <v>46.934768292436004</v>
      </c>
      <c r="AG43" s="266">
        <f>AG31*Parametre!AF237</f>
        <v>46.840898755851391</v>
      </c>
      <c r="AH43" s="266">
        <f>AH31*Parametre!AG237</f>
        <v>46.747216958338022</v>
      </c>
      <c r="AI43" s="266">
        <f>AI31*Parametre!AH237</f>
        <v>46.653722524420921</v>
      </c>
      <c r="AJ43" s="266">
        <f>AJ31*Parametre!AI237</f>
        <v>46.560415079373122</v>
      </c>
      <c r="AK43" s="266">
        <f>AK31*Parametre!AJ237</f>
        <v>46.467294249212742</v>
      </c>
      <c r="AL43" s="266">
        <f>AL31*Parametre!AK237</f>
        <v>46.374359660714866</v>
      </c>
    </row>
    <row r="44" spans="2:38" x14ac:dyDescent="0.2">
      <c r="B44" s="260" t="s">
        <v>403</v>
      </c>
      <c r="C44" s="266">
        <f t="shared" si="33"/>
        <v>0</v>
      </c>
      <c r="D44" s="266">
        <f>D32*Parametre!C238</f>
        <v>0</v>
      </c>
      <c r="E44" s="266">
        <f>E32*Parametre!D238</f>
        <v>0</v>
      </c>
      <c r="F44" s="266">
        <f>F32*Parametre!E238</f>
        <v>0</v>
      </c>
      <c r="G44" s="266">
        <f>G32*Parametre!F238</f>
        <v>0</v>
      </c>
      <c r="H44" s="266">
        <f>H32*Parametre!G238</f>
        <v>0</v>
      </c>
      <c r="I44" s="266">
        <f>I32*Parametre!H238</f>
        <v>0</v>
      </c>
      <c r="J44" s="266">
        <f>J32*Parametre!I238</f>
        <v>0</v>
      </c>
      <c r="K44" s="266">
        <f>K32*Parametre!J238</f>
        <v>0</v>
      </c>
      <c r="L44" s="266">
        <f>L32*Parametre!K238</f>
        <v>0</v>
      </c>
      <c r="M44" s="266">
        <f>M32*Parametre!L238</f>
        <v>0</v>
      </c>
      <c r="N44" s="266">
        <f>N32*Parametre!M238</f>
        <v>0</v>
      </c>
      <c r="O44" s="266">
        <f>O32*Parametre!N238</f>
        <v>0</v>
      </c>
      <c r="P44" s="266">
        <f>P32*Parametre!O238</f>
        <v>0</v>
      </c>
      <c r="Q44" s="266">
        <f>Q32*Parametre!P238</f>
        <v>0</v>
      </c>
      <c r="R44" s="266">
        <f>R32*Parametre!Q238</f>
        <v>0</v>
      </c>
      <c r="S44" s="266">
        <f>S32*Parametre!R238</f>
        <v>0</v>
      </c>
      <c r="T44" s="266">
        <f>T32*Parametre!S238</f>
        <v>0</v>
      </c>
      <c r="U44" s="266">
        <f>U32*Parametre!T238</f>
        <v>0</v>
      </c>
      <c r="V44" s="266">
        <f>V32*Parametre!U238</f>
        <v>0</v>
      </c>
      <c r="W44" s="266">
        <f>W32*Parametre!V238</f>
        <v>0</v>
      </c>
      <c r="X44" s="266">
        <f>X32*Parametre!W238</f>
        <v>0</v>
      </c>
      <c r="Y44" s="266">
        <f>Y32*Parametre!X238</f>
        <v>0</v>
      </c>
      <c r="Z44" s="266">
        <f>Z32*Parametre!Y238</f>
        <v>0</v>
      </c>
      <c r="AA44" s="266">
        <f>AA32*Parametre!Z238</f>
        <v>0</v>
      </c>
      <c r="AB44" s="266">
        <f>AB32*Parametre!AA238</f>
        <v>0</v>
      </c>
      <c r="AC44" s="266">
        <f>AC32*Parametre!AB238</f>
        <v>0</v>
      </c>
      <c r="AD44" s="266">
        <f>AD32*Parametre!AC238</f>
        <v>0</v>
      </c>
      <c r="AE44" s="266">
        <f>AE32*Parametre!AD238</f>
        <v>0</v>
      </c>
      <c r="AF44" s="266">
        <f>AF32*Parametre!AE238</f>
        <v>0</v>
      </c>
      <c r="AG44" s="266">
        <f>AG32*Parametre!AF238</f>
        <v>0</v>
      </c>
      <c r="AH44" s="266">
        <f>AH32*Parametre!AG238</f>
        <v>0</v>
      </c>
      <c r="AI44" s="266">
        <f>AI32*Parametre!AH238</f>
        <v>0</v>
      </c>
      <c r="AJ44" s="266">
        <f>AJ32*Parametre!AI238</f>
        <v>0</v>
      </c>
      <c r="AK44" s="266">
        <f>AK32*Parametre!AJ238</f>
        <v>0</v>
      </c>
      <c r="AL44" s="266">
        <f>AL32*Parametre!AK238</f>
        <v>0</v>
      </c>
    </row>
    <row r="45" spans="2:38" x14ac:dyDescent="0.2">
      <c r="B45" s="260" t="s">
        <v>404</v>
      </c>
      <c r="C45" s="266">
        <f t="shared" si="33"/>
        <v>0</v>
      </c>
      <c r="D45" s="266">
        <f>D33*Parametre!C239</f>
        <v>0</v>
      </c>
      <c r="E45" s="266">
        <f>E33*Parametre!D239</f>
        <v>0</v>
      </c>
      <c r="F45" s="266">
        <f>F33*Parametre!E239</f>
        <v>0</v>
      </c>
      <c r="G45" s="266">
        <f>G33*Parametre!F239</f>
        <v>0</v>
      </c>
      <c r="H45" s="266">
        <f>H33*Parametre!G239</f>
        <v>0</v>
      </c>
      <c r="I45" s="266">
        <f>I33*Parametre!H239</f>
        <v>0</v>
      </c>
      <c r="J45" s="266">
        <f>J33*Parametre!I239</f>
        <v>0</v>
      </c>
      <c r="K45" s="266">
        <f>K33*Parametre!J239</f>
        <v>0</v>
      </c>
      <c r="L45" s="266">
        <f>L33*Parametre!K239</f>
        <v>0</v>
      </c>
      <c r="M45" s="266">
        <f>M33*Parametre!L239</f>
        <v>0</v>
      </c>
      <c r="N45" s="266">
        <f>N33*Parametre!M239</f>
        <v>0</v>
      </c>
      <c r="O45" s="266">
        <f>O33*Parametre!N239</f>
        <v>0</v>
      </c>
      <c r="P45" s="266">
        <f>P33*Parametre!O239</f>
        <v>0</v>
      </c>
      <c r="Q45" s="266">
        <f>Q33*Parametre!P239</f>
        <v>0</v>
      </c>
      <c r="R45" s="266">
        <f>R33*Parametre!Q239</f>
        <v>0</v>
      </c>
      <c r="S45" s="266">
        <f>S33*Parametre!R239</f>
        <v>0</v>
      </c>
      <c r="T45" s="266">
        <f>T33*Parametre!S239</f>
        <v>0</v>
      </c>
      <c r="U45" s="266">
        <f>U33*Parametre!T239</f>
        <v>0</v>
      </c>
      <c r="V45" s="266">
        <f>V33*Parametre!U239</f>
        <v>0</v>
      </c>
      <c r="W45" s="266">
        <f>W33*Parametre!V239</f>
        <v>0</v>
      </c>
      <c r="X45" s="266">
        <f>X33*Parametre!W239</f>
        <v>0</v>
      </c>
      <c r="Y45" s="266">
        <f>Y33*Parametre!X239</f>
        <v>0</v>
      </c>
      <c r="Z45" s="266">
        <f>Z33*Parametre!Y239</f>
        <v>0</v>
      </c>
      <c r="AA45" s="266">
        <f>AA33*Parametre!Z239</f>
        <v>0</v>
      </c>
      <c r="AB45" s="266">
        <f>AB33*Parametre!AA239</f>
        <v>0</v>
      </c>
      <c r="AC45" s="266">
        <f>AC33*Parametre!AB239</f>
        <v>0</v>
      </c>
      <c r="AD45" s="266">
        <f>AD33*Parametre!AC239</f>
        <v>0</v>
      </c>
      <c r="AE45" s="266">
        <f>AE33*Parametre!AD239</f>
        <v>0</v>
      </c>
      <c r="AF45" s="266">
        <f>AF33*Parametre!AE239</f>
        <v>0</v>
      </c>
      <c r="AG45" s="266">
        <f>AG33*Parametre!AF239</f>
        <v>0</v>
      </c>
      <c r="AH45" s="266">
        <f>AH33*Parametre!AG239</f>
        <v>0</v>
      </c>
      <c r="AI45" s="266">
        <f>AI33*Parametre!AH239</f>
        <v>0</v>
      </c>
      <c r="AJ45" s="266">
        <f>AJ33*Parametre!AI239</f>
        <v>0</v>
      </c>
      <c r="AK45" s="266">
        <f>AK33*Parametre!AJ239</f>
        <v>0</v>
      </c>
      <c r="AL45" s="266">
        <f>AL33*Parametre!AK239</f>
        <v>0</v>
      </c>
    </row>
    <row r="46" spans="2:38" x14ac:dyDescent="0.2">
      <c r="B46" s="260" t="s">
        <v>405</v>
      </c>
      <c r="C46" s="266">
        <f t="shared" si="33"/>
        <v>0</v>
      </c>
      <c r="D46" s="266">
        <f>D34*Parametre!C240</f>
        <v>0</v>
      </c>
      <c r="E46" s="266">
        <f>E34*Parametre!D240</f>
        <v>0</v>
      </c>
      <c r="F46" s="266">
        <f>F34*Parametre!E240</f>
        <v>0</v>
      </c>
      <c r="G46" s="266">
        <f>G34*Parametre!F240</f>
        <v>0</v>
      </c>
      <c r="H46" s="266">
        <f>H34*Parametre!G240</f>
        <v>0</v>
      </c>
      <c r="I46" s="266">
        <f>I34*Parametre!H240</f>
        <v>0</v>
      </c>
      <c r="J46" s="266">
        <f>J34*Parametre!I240</f>
        <v>0</v>
      </c>
      <c r="K46" s="266">
        <f>K34*Parametre!J240</f>
        <v>0</v>
      </c>
      <c r="L46" s="266">
        <f>L34*Parametre!K240</f>
        <v>0</v>
      </c>
      <c r="M46" s="266">
        <f>M34*Parametre!L240</f>
        <v>0</v>
      </c>
      <c r="N46" s="266">
        <f>N34*Parametre!M240</f>
        <v>0</v>
      </c>
      <c r="O46" s="266">
        <f>O34*Parametre!N240</f>
        <v>0</v>
      </c>
      <c r="P46" s="266">
        <f>P34*Parametre!O240</f>
        <v>0</v>
      </c>
      <c r="Q46" s="266">
        <f>Q34*Parametre!P240</f>
        <v>0</v>
      </c>
      <c r="R46" s="266">
        <f>R34*Parametre!Q240</f>
        <v>0</v>
      </c>
      <c r="S46" s="266">
        <f>S34*Parametre!R240</f>
        <v>0</v>
      </c>
      <c r="T46" s="266">
        <f>T34*Parametre!S240</f>
        <v>0</v>
      </c>
      <c r="U46" s="266">
        <f>U34*Parametre!T240</f>
        <v>0</v>
      </c>
      <c r="V46" s="266">
        <f>V34*Parametre!U240</f>
        <v>0</v>
      </c>
      <c r="W46" s="266">
        <f>W34*Parametre!V240</f>
        <v>0</v>
      </c>
      <c r="X46" s="266">
        <f>X34*Parametre!W240</f>
        <v>0</v>
      </c>
      <c r="Y46" s="266">
        <f>Y34*Parametre!X240</f>
        <v>0</v>
      </c>
      <c r="Z46" s="266">
        <f>Z34*Parametre!Y240</f>
        <v>0</v>
      </c>
      <c r="AA46" s="266">
        <f>AA34*Parametre!Z240</f>
        <v>0</v>
      </c>
      <c r="AB46" s="266">
        <f>AB34*Parametre!AA240</f>
        <v>0</v>
      </c>
      <c r="AC46" s="266">
        <f>AC34*Parametre!AB240</f>
        <v>0</v>
      </c>
      <c r="AD46" s="266">
        <f>AD34*Parametre!AC240</f>
        <v>0</v>
      </c>
      <c r="AE46" s="266">
        <f>AE34*Parametre!AD240</f>
        <v>0</v>
      </c>
      <c r="AF46" s="266">
        <f>AF34*Parametre!AE240</f>
        <v>0</v>
      </c>
      <c r="AG46" s="266">
        <f>AG34*Parametre!AF240</f>
        <v>0</v>
      </c>
      <c r="AH46" s="266">
        <f>AH34*Parametre!AG240</f>
        <v>0</v>
      </c>
      <c r="AI46" s="266">
        <f>AI34*Parametre!AH240</f>
        <v>0</v>
      </c>
      <c r="AJ46" s="266">
        <f>AJ34*Parametre!AI240</f>
        <v>0</v>
      </c>
      <c r="AK46" s="266">
        <f>AK34*Parametre!AJ240</f>
        <v>0</v>
      </c>
      <c r="AL46" s="266">
        <f>AL34*Parametre!AK240</f>
        <v>0</v>
      </c>
    </row>
    <row r="47" spans="2:38" x14ac:dyDescent="0.2">
      <c r="B47" s="277" t="s">
        <v>59</v>
      </c>
      <c r="C47" s="278">
        <f t="shared" si="33"/>
        <v>42797.862524796277</v>
      </c>
      <c r="D47" s="279">
        <f t="shared" ref="D47:AG47" si="34">SUM(D41:D46)</f>
        <v>0</v>
      </c>
      <c r="E47" s="278">
        <f t="shared" si="34"/>
        <v>0</v>
      </c>
      <c r="F47" s="278">
        <f t="shared" si="34"/>
        <v>0</v>
      </c>
      <c r="G47" s="278">
        <f t="shared" si="34"/>
        <v>1081.5101800192529</v>
      </c>
      <c r="H47" s="278">
        <f t="shared" si="34"/>
        <v>1099.1740749128767</v>
      </c>
      <c r="I47" s="278">
        <f t="shared" si="34"/>
        <v>1116.8379698064991</v>
      </c>
      <c r="J47" s="278">
        <f t="shared" si="34"/>
        <v>1134.5018647001207</v>
      </c>
      <c r="K47" s="278">
        <f t="shared" si="34"/>
        <v>1152.1657595937625</v>
      </c>
      <c r="L47" s="278">
        <f t="shared" si="34"/>
        <v>1169.8296544873647</v>
      </c>
      <c r="M47" s="278">
        <f t="shared" si="34"/>
        <v>1187.4935493809878</v>
      </c>
      <c r="N47" s="278">
        <f t="shared" si="34"/>
        <v>1205.1574442746103</v>
      </c>
      <c r="O47" s="278">
        <f t="shared" si="34"/>
        <v>1222.8213391682534</v>
      </c>
      <c r="P47" s="278">
        <f t="shared" si="34"/>
        <v>1240.4852340618761</v>
      </c>
      <c r="Q47" s="278">
        <f t="shared" si="34"/>
        <v>1258.149128955519</v>
      </c>
      <c r="R47" s="278">
        <f t="shared" si="34"/>
        <v>1275.8130238491206</v>
      </c>
      <c r="S47" s="278">
        <f t="shared" si="34"/>
        <v>1293.4769187427441</v>
      </c>
      <c r="T47" s="278">
        <f t="shared" si="34"/>
        <v>1308.518532009107</v>
      </c>
      <c r="U47" s="278">
        <f t="shared" si="34"/>
        <v>1323.494804914709</v>
      </c>
      <c r="V47" s="278">
        <f t="shared" si="34"/>
        <v>1338.4059386545489</v>
      </c>
      <c r="W47" s="278">
        <f t="shared" si="34"/>
        <v>1353.2521338802744</v>
      </c>
      <c r="X47" s="278">
        <f t="shared" si="34"/>
        <v>1368.0335907012397</v>
      </c>
      <c r="Y47" s="278">
        <f t="shared" si="34"/>
        <v>1382.7505086864533</v>
      </c>
      <c r="Z47" s="278">
        <f t="shared" si="34"/>
        <v>1397.4030868653513</v>
      </c>
      <c r="AA47" s="278">
        <f t="shared" si="34"/>
        <v>1411.9915237295088</v>
      </c>
      <c r="AB47" s="278">
        <f t="shared" si="34"/>
        <v>1426.5160172338501</v>
      </c>
      <c r="AC47" s="278">
        <f t="shared" si="34"/>
        <v>1440.9767647981137</v>
      </c>
      <c r="AD47" s="278">
        <f t="shared" si="34"/>
        <v>1455.3739633079824</v>
      </c>
      <c r="AE47" s="278">
        <f t="shared" si="34"/>
        <v>1469.7078091168285</v>
      </c>
      <c r="AF47" s="278">
        <f t="shared" si="34"/>
        <v>1483.9784980465622</v>
      </c>
      <c r="AG47" s="278">
        <f t="shared" si="34"/>
        <v>1498.186225389313</v>
      </c>
      <c r="AH47" s="278">
        <f t="shared" ref="AH47:AL47" si="35">SUM(AH41:AH46)</f>
        <v>1512.3311859087207</v>
      </c>
      <c r="AI47" s="278">
        <f t="shared" si="35"/>
        <v>1526.4135738410769</v>
      </c>
      <c r="AJ47" s="278">
        <f t="shared" si="35"/>
        <v>1540.4335828970477</v>
      </c>
      <c r="AK47" s="278">
        <f t="shared" si="35"/>
        <v>1554.3914062624851</v>
      </c>
      <c r="AL47" s="278">
        <f t="shared" si="35"/>
        <v>1568.2872366001161</v>
      </c>
    </row>
  </sheetData>
  <sheetProtection algorithmName="SHA-512" hashValue="5C1sbJnZfKiOvWg3Jr3EipOelVg14x4UYM0xj+oG5BLbpJgWa72aBBuObM3tRp6tmWdG3C/133xLMzc+vHTtEg==" saltValue="xnI424O3E7yThng34iFRFA==" spinCount="100000" sheet="1" objects="1" scenarios="1"/>
  <mergeCells count="1">
    <mergeCell ref="B39:B40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11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B2:AL36"/>
  <sheetViews>
    <sheetView zoomScale="90" zoomScaleNormal="90" workbookViewId="0"/>
  </sheetViews>
  <sheetFormatPr defaultColWidth="9.140625" defaultRowHeight="11.25" x14ac:dyDescent="0.2"/>
  <cols>
    <col min="1" max="1" width="2.7109375" style="30" customWidth="1"/>
    <col min="2" max="2" width="42.28515625" style="30" bestFit="1" customWidth="1"/>
    <col min="3" max="3" width="11.28515625" style="30" bestFit="1" customWidth="1"/>
    <col min="4" max="4" width="7.28515625" style="30" bestFit="1" customWidth="1"/>
    <col min="5" max="6" width="10.5703125" style="30" bestFit="1" customWidth="1"/>
    <col min="7" max="12" width="9.140625" style="30" bestFit="1" customWidth="1"/>
    <col min="13" max="16" width="9.7109375" style="30" bestFit="1" customWidth="1"/>
    <col min="17" max="22" width="9.140625" style="30" bestFit="1" customWidth="1"/>
    <col min="23" max="24" width="10.140625" style="30" bestFit="1" customWidth="1"/>
    <col min="25" max="32" width="9.140625" style="30" bestFit="1" customWidth="1"/>
    <col min="33" max="33" width="9.7109375" style="30" bestFit="1" customWidth="1"/>
    <col min="34" max="38" width="10.140625" style="30" bestFit="1" customWidth="1"/>
    <col min="39" max="16384" width="9.140625" style="30"/>
  </cols>
  <sheetData>
    <row r="2" spans="2:38" x14ac:dyDescent="0.2">
      <c r="B2" s="36" t="s">
        <v>458</v>
      </c>
      <c r="C2" s="36"/>
      <c r="D2" s="31" t="s">
        <v>10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</row>
    <row r="3" spans="2:38" x14ac:dyDescent="0.2">
      <c r="B3" s="32"/>
      <c r="C3" s="32"/>
      <c r="D3" s="33">
        <v>1</v>
      </c>
      <c r="E3" s="33">
        <v>2</v>
      </c>
      <c r="F3" s="33">
        <v>3</v>
      </c>
      <c r="G3" s="33">
        <v>4</v>
      </c>
      <c r="H3" s="33">
        <v>5</v>
      </c>
      <c r="I3" s="33">
        <v>6</v>
      </c>
      <c r="J3" s="33">
        <v>7</v>
      </c>
      <c r="K3" s="33">
        <v>8</v>
      </c>
      <c r="L3" s="33">
        <v>9</v>
      </c>
      <c r="M3" s="33">
        <v>10</v>
      </c>
      <c r="N3" s="33">
        <v>11</v>
      </c>
      <c r="O3" s="33">
        <v>12</v>
      </c>
      <c r="P3" s="33">
        <v>13</v>
      </c>
      <c r="Q3" s="33">
        <v>14</v>
      </c>
      <c r="R3" s="33">
        <v>15</v>
      </c>
      <c r="S3" s="33">
        <v>16</v>
      </c>
      <c r="T3" s="33">
        <v>17</v>
      </c>
      <c r="U3" s="33">
        <v>18</v>
      </c>
      <c r="V3" s="33">
        <v>19</v>
      </c>
      <c r="W3" s="33">
        <v>20</v>
      </c>
      <c r="X3" s="33">
        <v>21</v>
      </c>
      <c r="Y3" s="33">
        <v>22</v>
      </c>
      <c r="Z3" s="33">
        <v>23</v>
      </c>
      <c r="AA3" s="33">
        <v>24</v>
      </c>
      <c r="AB3" s="33">
        <v>25</v>
      </c>
      <c r="AC3" s="33">
        <v>26</v>
      </c>
      <c r="AD3" s="33">
        <v>27</v>
      </c>
      <c r="AE3" s="33">
        <v>28</v>
      </c>
      <c r="AF3" s="33">
        <v>29</v>
      </c>
      <c r="AG3" s="33">
        <v>30</v>
      </c>
      <c r="AH3" s="33">
        <v>31</v>
      </c>
      <c r="AI3" s="33">
        <v>32</v>
      </c>
      <c r="AJ3" s="33">
        <v>33</v>
      </c>
      <c r="AK3" s="33">
        <v>34</v>
      </c>
      <c r="AL3" s="33">
        <v>35</v>
      </c>
    </row>
    <row r="4" spans="2:38" ht="33.75" x14ac:dyDescent="0.2">
      <c r="B4" s="34" t="s">
        <v>39</v>
      </c>
      <c r="C4" s="38" t="s">
        <v>36</v>
      </c>
      <c r="D4" s="35">
        <f>Parametre!C13</f>
        <v>2025</v>
      </c>
      <c r="E4" s="35">
        <f>$D$4+D3</f>
        <v>2026</v>
      </c>
      <c r="F4" s="35">
        <f>$D$4+E3</f>
        <v>2027</v>
      </c>
      <c r="G4" s="35">
        <f t="shared" ref="G4:AF4" si="0">$D$4+F3</f>
        <v>2028</v>
      </c>
      <c r="H4" s="35">
        <f t="shared" si="0"/>
        <v>2029</v>
      </c>
      <c r="I4" s="35">
        <f t="shared" si="0"/>
        <v>2030</v>
      </c>
      <c r="J4" s="35">
        <f t="shared" si="0"/>
        <v>2031</v>
      </c>
      <c r="K4" s="35">
        <f t="shared" si="0"/>
        <v>2032</v>
      </c>
      <c r="L4" s="35">
        <f t="shared" si="0"/>
        <v>2033</v>
      </c>
      <c r="M4" s="35">
        <f t="shared" si="0"/>
        <v>2034</v>
      </c>
      <c r="N4" s="35">
        <f t="shared" si="0"/>
        <v>2035</v>
      </c>
      <c r="O4" s="35">
        <f t="shared" si="0"/>
        <v>2036</v>
      </c>
      <c r="P4" s="35">
        <f t="shared" si="0"/>
        <v>2037</v>
      </c>
      <c r="Q4" s="35">
        <f t="shared" si="0"/>
        <v>2038</v>
      </c>
      <c r="R4" s="35">
        <f t="shared" si="0"/>
        <v>2039</v>
      </c>
      <c r="S4" s="35">
        <f t="shared" si="0"/>
        <v>2040</v>
      </c>
      <c r="T4" s="35">
        <f t="shared" si="0"/>
        <v>2041</v>
      </c>
      <c r="U4" s="35">
        <f t="shared" si="0"/>
        <v>2042</v>
      </c>
      <c r="V4" s="35">
        <f t="shared" si="0"/>
        <v>2043</v>
      </c>
      <c r="W4" s="35">
        <f t="shared" si="0"/>
        <v>2044</v>
      </c>
      <c r="X4" s="35">
        <f t="shared" si="0"/>
        <v>2045</v>
      </c>
      <c r="Y4" s="35">
        <f t="shared" si="0"/>
        <v>2046</v>
      </c>
      <c r="Z4" s="35">
        <f t="shared" si="0"/>
        <v>2047</v>
      </c>
      <c r="AA4" s="35">
        <f t="shared" si="0"/>
        <v>2048</v>
      </c>
      <c r="AB4" s="35">
        <f t="shared" si="0"/>
        <v>2049</v>
      </c>
      <c r="AC4" s="35">
        <f t="shared" si="0"/>
        <v>2050</v>
      </c>
      <c r="AD4" s="35">
        <f t="shared" si="0"/>
        <v>2051</v>
      </c>
      <c r="AE4" s="35">
        <f t="shared" si="0"/>
        <v>2052</v>
      </c>
      <c r="AF4" s="35">
        <f t="shared" si="0"/>
        <v>2053</v>
      </c>
      <c r="AG4" s="35">
        <f t="shared" ref="AG4" si="1">$D$4+AF3</f>
        <v>2054</v>
      </c>
      <c r="AH4" s="35">
        <f t="shared" ref="AH4" si="2">$D$4+AG3</f>
        <v>2055</v>
      </c>
      <c r="AI4" s="35">
        <f t="shared" ref="AI4" si="3">$D$4+AH3</f>
        <v>2056</v>
      </c>
      <c r="AJ4" s="35">
        <f t="shared" ref="AJ4" si="4">$D$4+AI3</f>
        <v>2057</v>
      </c>
      <c r="AK4" s="35">
        <f t="shared" ref="AK4" si="5">$D$4+AJ3</f>
        <v>2058</v>
      </c>
      <c r="AL4" s="35">
        <f t="shared" ref="AL4" si="6">$D$4+AK3</f>
        <v>2059</v>
      </c>
    </row>
    <row r="5" spans="2:38" x14ac:dyDescent="0.2">
      <c r="B5" s="31" t="s">
        <v>14</v>
      </c>
      <c r="C5" s="37">
        <f>D5+NPV(Parametre!$C$10,E5:I5)</f>
        <v>84097959.183673456</v>
      </c>
      <c r="D5" s="37">
        <f>'01 Investičné výdavky'!D33</f>
        <v>0</v>
      </c>
      <c r="E5" s="37">
        <f>'01 Investičné výdavky'!E33</f>
        <v>18360000</v>
      </c>
      <c r="F5" s="37">
        <f>'01 Investičné výdavky'!F33</f>
        <v>73440000</v>
      </c>
      <c r="G5" s="37">
        <f>'01 Investičné výdavky'!G33</f>
        <v>0</v>
      </c>
      <c r="H5" s="37">
        <f>'01 Investičné výdavky'!H33</f>
        <v>0</v>
      </c>
      <c r="I5" s="37">
        <f>'01 Investičné výdavky'!I33</f>
        <v>0</v>
      </c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</row>
    <row r="6" spans="2:38" x14ac:dyDescent="0.2">
      <c r="B6" s="31" t="s">
        <v>12</v>
      </c>
      <c r="C6" s="37">
        <f>D6+NPV(Parametre!$C$10,E6:AL6)</f>
        <v>15290112.258105569</v>
      </c>
      <c r="D6" s="37">
        <f>'03 Prevádzkové výdavky'!D43</f>
        <v>0</v>
      </c>
      <c r="E6" s="37">
        <f>'03 Prevádzkové výdavky'!E43</f>
        <v>0</v>
      </c>
      <c r="F6" s="37">
        <f>'03 Prevádzkové výdavky'!F43</f>
        <v>0</v>
      </c>
      <c r="G6" s="37">
        <f>'03 Prevádzkové výdavky'!G43</f>
        <v>853976.24061444949</v>
      </c>
      <c r="H6" s="37">
        <f>'03 Prevádzkové výdavky'!H43</f>
        <v>863274.72900754807</v>
      </c>
      <c r="I6" s="37">
        <f>'03 Prevádzkové výdavky'!I43</f>
        <v>872490.28829753667</v>
      </c>
      <c r="J6" s="37">
        <f>'03 Prevádzkové výdavky'!J43</f>
        <v>881612.40999541513</v>
      </c>
      <c r="K6" s="37">
        <f>'03 Prevádzkové výdavky'!K43</f>
        <v>890630.11127717351</v>
      </c>
      <c r="L6" s="37">
        <f>'03 Prevádzkové výdavky'!L43</f>
        <v>897937.48898624524</v>
      </c>
      <c r="M6" s="37">
        <f>'03 Prevádzkové výdavky'!M43</f>
        <v>-1384975.3461992159</v>
      </c>
      <c r="N6" s="37">
        <f>'03 Prevádzkové výdavky'!N43</f>
        <v>-1372903.2028847979</v>
      </c>
      <c r="O6" s="37">
        <f>'03 Prevádzkové výdavky'!O43</f>
        <v>-1360857.4280376239</v>
      </c>
      <c r="P6" s="37">
        <f>'03 Prevádzkové výdavky'!P43</f>
        <v>-1348850.0236933567</v>
      </c>
      <c r="Q6" s="37">
        <f>'03 Prevádzkové výdavky'!Q43</f>
        <v>958106.32373186562</v>
      </c>
      <c r="R6" s="37">
        <f>'03 Prevádzkové výdavky'!R43</f>
        <v>969998.21293738729</v>
      </c>
      <c r="S6" s="37">
        <f>'03 Prevádzkové výdavky'!S43</f>
        <v>981811.49599557545</v>
      </c>
      <c r="T6" s="37">
        <f>'03 Prevádzkové výdavky'!T43</f>
        <v>993531.24532296078</v>
      </c>
      <c r="U6" s="37">
        <f>'03 Prevádzkové výdavky'!U43</f>
        <v>1003318.6655100714</v>
      </c>
      <c r="V6" s="37">
        <f>'03 Prevádzkové výdavky'!V43</f>
        <v>1012288.9234782954</v>
      </c>
      <c r="W6" s="37">
        <f>'03 Prevádzkové výdavky'!W43</f>
        <v>-4716564.3935720399</v>
      </c>
      <c r="X6" s="37">
        <f>'03 Prevádzkové výdavky'!X43</f>
        <v>-4708271.1728766626</v>
      </c>
      <c r="Y6" s="37">
        <f>'03 Prevádzkové výdavky'!Y43</f>
        <v>119137.05960006698</v>
      </c>
      <c r="Z6" s="37">
        <f>'03 Prevádzkové výdavky'!Z43</f>
        <v>126627.06082332507</v>
      </c>
      <c r="AA6" s="37">
        <f>'03 Prevádzkové výdavky'!AA43</f>
        <v>5871163.7888116147</v>
      </c>
      <c r="AB6" s="37">
        <f>'03 Prevádzkové výdavky'!AB43</f>
        <v>5877710.3170715766</v>
      </c>
      <c r="AC6" s="37">
        <f>'03 Prevádzkové výdavky'!AC43</f>
        <v>1064227.74518255</v>
      </c>
      <c r="AD6" s="37">
        <f>'03 Prevádzkové výdavky'!AD43</f>
        <v>1067496.3873080241</v>
      </c>
      <c r="AE6" s="37">
        <f>'03 Prevádzkové výdavky'!AE43</f>
        <v>1068751.8189689929</v>
      </c>
      <c r="AF6" s="37">
        <f>'03 Prevádzkové výdavky'!AF43</f>
        <v>1069044.3838542106</v>
      </c>
      <c r="AG6" s="37">
        <f>'03 Prevádzkové výdavky'!AG43</f>
        <v>-1226695.245682054</v>
      </c>
      <c r="AH6" s="37">
        <f>'03 Prevádzkové výdavky'!AH43</f>
        <v>-1228540.2744647483</v>
      </c>
      <c r="AI6" s="37">
        <f>'03 Prevádzkové výdavky'!AI43</f>
        <v>12308932.015374769</v>
      </c>
      <c r="AJ6" s="37">
        <f>'03 Prevádzkové výdavky'!AJ43</f>
        <v>12304640.054308297</v>
      </c>
      <c r="AK6" s="37">
        <f>'03 Prevádzkové výdavky'!AK43</f>
        <v>14593997.764871428</v>
      </c>
      <c r="AL6" s="37">
        <f>'03 Prevádzkové výdavky'!AL43</f>
        <v>14586914.330166006</v>
      </c>
    </row>
    <row r="7" spans="2:38" x14ac:dyDescent="0.2">
      <c r="B7" s="260" t="s">
        <v>201</v>
      </c>
      <c r="C7" s="37">
        <f>D7+NPV(Parametre!$C$10,E7:AL7)</f>
        <v>15213875.140347771</v>
      </c>
      <c r="D7" s="37">
        <f>SUM(D8:D10)</f>
        <v>0</v>
      </c>
      <c r="E7" s="37">
        <f t="shared" ref="E7:AF7" si="7">SUM(E8:E10)</f>
        <v>0</v>
      </c>
      <c r="F7" s="37">
        <f t="shared" si="7"/>
        <v>0</v>
      </c>
      <c r="G7" s="37">
        <f t="shared" si="7"/>
        <v>927870.93337123701</v>
      </c>
      <c r="H7" s="37">
        <f t="shared" si="7"/>
        <v>940220.10682802252</v>
      </c>
      <c r="I7" s="37">
        <f t="shared" si="7"/>
        <v>953721.04527769238</v>
      </c>
      <c r="J7" s="37">
        <f t="shared" si="7"/>
        <v>966022.73465519305</v>
      </c>
      <c r="K7" s="37">
        <f t="shared" si="7"/>
        <v>978324.42403269385</v>
      </c>
      <c r="L7" s="37">
        <f t="shared" si="7"/>
        <v>990295.93341702817</v>
      </c>
      <c r="M7" s="37">
        <f t="shared" si="7"/>
        <v>1002267.4428013626</v>
      </c>
      <c r="N7" s="37">
        <f t="shared" si="7"/>
        <v>1014569.1321788633</v>
      </c>
      <c r="O7" s="37">
        <f t="shared" si="7"/>
        <v>1026870.821556364</v>
      </c>
      <c r="P7" s="37">
        <f t="shared" si="7"/>
        <v>1039172.5109338645</v>
      </c>
      <c r="Q7" s="37">
        <f t="shared" si="7"/>
        <v>1051521.6843906501</v>
      </c>
      <c r="R7" s="37">
        <f t="shared" si="7"/>
        <v>1063870.8578474356</v>
      </c>
      <c r="S7" s="37">
        <f t="shared" si="7"/>
        <v>1076220.0313042211</v>
      </c>
      <c r="T7" s="37">
        <f t="shared" si="7"/>
        <v>1086721.5859846647</v>
      </c>
      <c r="U7" s="37">
        <f t="shared" si="7"/>
        <v>1097947.8371794147</v>
      </c>
      <c r="V7" s="37">
        <f t="shared" si="7"/>
        <v>1106835.1000532568</v>
      </c>
      <c r="W7" s="37">
        <f t="shared" si="7"/>
        <v>1116497.4540957413</v>
      </c>
      <c r="X7" s="37">
        <f t="shared" si="7"/>
        <v>1126116.7313816505</v>
      </c>
      <c r="Y7" s="37">
        <f t="shared" si="7"/>
        <v>1135693.0655686012</v>
      </c>
      <c r="Z7" s="37">
        <f t="shared" si="7"/>
        <v>1145226.5899518798</v>
      </c>
      <c r="AA7" s="37">
        <f t="shared" si="7"/>
        <v>1155042.3714112476</v>
      </c>
      <c r="AB7" s="37">
        <f t="shared" si="7"/>
        <v>1164814.3088384173</v>
      </c>
      <c r="AC7" s="37">
        <f t="shared" si="7"/>
        <v>1174542.5383463921</v>
      </c>
      <c r="AD7" s="37">
        <f t="shared" si="7"/>
        <v>1184273.6454927057</v>
      </c>
      <c r="AE7" s="37">
        <f t="shared" si="7"/>
        <v>1193961.1300402852</v>
      </c>
      <c r="AF7" s="37">
        <f t="shared" si="7"/>
        <v>1203237.1657771235</v>
      </c>
      <c r="AG7" s="37">
        <f t="shared" ref="AG7:AL7" si="8">SUM(AG8:AG10)</f>
        <v>1212471.3215264925</v>
      </c>
      <c r="AH7" s="37">
        <f t="shared" si="8"/>
        <v>1221709.8070326138</v>
      </c>
      <c r="AI7" s="37">
        <f t="shared" si="8"/>
        <v>1231180.2727918136</v>
      </c>
      <c r="AJ7" s="37">
        <f t="shared" si="8"/>
        <v>1240607.9698487469</v>
      </c>
      <c r="AK7" s="37">
        <f t="shared" si="8"/>
        <v>1249993.0313963648</v>
      </c>
      <c r="AL7" s="37">
        <f t="shared" si="8"/>
        <v>1259381.302064124</v>
      </c>
    </row>
    <row r="8" spans="2:38" x14ac:dyDescent="0.2">
      <c r="B8" s="281" t="s">
        <v>406</v>
      </c>
      <c r="C8" s="682">
        <f>D8+NPV(Parametre!$C$10,E8:AL8)</f>
        <v>7125808.5908850366</v>
      </c>
      <c r="D8" s="682">
        <f>'07 Čas cestujúcich'!D16</f>
        <v>0</v>
      </c>
      <c r="E8" s="682">
        <f>'07 Čas cestujúcich'!E16</f>
        <v>0</v>
      </c>
      <c r="F8" s="682">
        <f>'07 Čas cestujúcich'!F16</f>
        <v>0</v>
      </c>
      <c r="G8" s="682">
        <f>'07 Čas cestujúcich'!G16</f>
        <v>434592.14744798688</v>
      </c>
      <c r="H8" s="682">
        <f>'07 Čas cestujúcich'!H16</f>
        <v>440376.19953839201</v>
      </c>
      <c r="I8" s="682">
        <f>'07 Čas cestujúcich'!I16</f>
        <v>446699.71030091483</v>
      </c>
      <c r="J8" s="682">
        <f>'07 Čas cestujúcich'!J16</f>
        <v>452461.52200502937</v>
      </c>
      <c r="K8" s="682">
        <f>'07 Čas cestujúcich'!K16</f>
        <v>458223.33370914403</v>
      </c>
      <c r="L8" s="682">
        <f>'07 Čas cestujúcich'!L16</f>
        <v>463830.49714579631</v>
      </c>
      <c r="M8" s="682">
        <f>'07 Čas cestujúcich'!M16</f>
        <v>469437.66058244853</v>
      </c>
      <c r="N8" s="682">
        <f>'07 Čas cestujúcich'!N16</f>
        <v>475199.47228656308</v>
      </c>
      <c r="O8" s="682">
        <f>'07 Čas cestujúcich'!O16</f>
        <v>480961.28399067768</v>
      </c>
      <c r="P8" s="682">
        <f>'07 Čas cestujúcich'!P16</f>
        <v>486723.09569479222</v>
      </c>
      <c r="Q8" s="682">
        <f>'07 Čas cestujúcich'!Q16</f>
        <v>492507.14778519748</v>
      </c>
      <c r="R8" s="682">
        <f>'07 Čas cestujúcich'!R16</f>
        <v>498291.19987560256</v>
      </c>
      <c r="S8" s="682">
        <f>'07 Čas cestujúcich'!S16</f>
        <v>504075.25196600769</v>
      </c>
      <c r="T8" s="682">
        <f>'07 Čas cestujúcich'!T16</f>
        <v>508993.92441922781</v>
      </c>
      <c r="U8" s="682">
        <f>'07 Čas cestujúcich'!U16</f>
        <v>514252.02707019635</v>
      </c>
      <c r="V8" s="682">
        <f>'07 Čas cestujúcich'!V16</f>
        <v>518414.60455631744</v>
      </c>
      <c r="W8" s="682">
        <f>'07 Čas cestujúcich'!W16</f>
        <v>522940.21586894995</v>
      </c>
      <c r="X8" s="682">
        <f>'07 Čas cestujúcich'!X16</f>
        <v>527445.65107790835</v>
      </c>
      <c r="Y8" s="682">
        <f>'07 Čas cestujúcich'!Y16</f>
        <v>531930.97278516879</v>
      </c>
      <c r="Z8" s="682">
        <f>'07 Čas cestujúcich'!Z16</f>
        <v>536396.24342299718</v>
      </c>
      <c r="AA8" s="682">
        <f>'07 Čas cestujúcich'!AA16</f>
        <v>540993.71640106384</v>
      </c>
      <c r="AB8" s="682">
        <f>'07 Čas cestujúcich'!AB16</f>
        <v>545570.65390224336</v>
      </c>
      <c r="AC8" s="682">
        <f>'07 Čas cestujúcich'!AC16</f>
        <v>550127.1196785518</v>
      </c>
      <c r="AD8" s="682">
        <f>'07 Čas cestujúcich'!AD16</f>
        <v>554684.93327057408</v>
      </c>
      <c r="AE8" s="682">
        <f>'07 Čas cestujúcich'!AE16</f>
        <v>559222.31509975391</v>
      </c>
      <c r="AF8" s="682">
        <f>'07 Čas cestujúcich'!AF16</f>
        <v>563566.98432657192</v>
      </c>
      <c r="AG8" s="682">
        <f>'07 Čas cestujúcich'!AG16</f>
        <v>567892.03798722033</v>
      </c>
      <c r="AH8" s="682">
        <f>'07 Čas cestujúcich'!AH16</f>
        <v>572219.11960048485</v>
      </c>
      <c r="AI8" s="682">
        <f>'07 Čas cestujúcich'!AI16</f>
        <v>576654.85511454951</v>
      </c>
      <c r="AJ8" s="682">
        <f>'07 Čas cestujúcich'!AJ16</f>
        <v>581070.55881007772</v>
      </c>
      <c r="AK8" s="682">
        <f>'07 Čas cestujúcich'!AK16</f>
        <v>585466.29307140724</v>
      </c>
      <c r="AL8" s="682">
        <f>'07 Čas cestujúcich'!AL16</f>
        <v>589863.53040645341</v>
      </c>
    </row>
    <row r="9" spans="2:38" x14ac:dyDescent="0.2">
      <c r="B9" s="281" t="s">
        <v>407</v>
      </c>
      <c r="C9" s="682">
        <f>D9+NPV(Parametre!$C$10,E9:AL9)</f>
        <v>8088066.5494627338</v>
      </c>
      <c r="D9" s="682">
        <f>'07 Čas cestujúcich'!D33</f>
        <v>0</v>
      </c>
      <c r="E9" s="682">
        <f>'07 Čas cestujúcich'!E33</f>
        <v>0</v>
      </c>
      <c r="F9" s="682">
        <f>'07 Čas cestujúcich'!F33</f>
        <v>0</v>
      </c>
      <c r="G9" s="682">
        <f>'07 Čas cestujúcich'!G33</f>
        <v>493278.78592325014</v>
      </c>
      <c r="H9" s="682">
        <f>'07 Čas cestujúcich'!H33</f>
        <v>499843.90728963044</v>
      </c>
      <c r="I9" s="682">
        <f>'07 Čas cestujúcich'!I33</f>
        <v>507021.33497677755</v>
      </c>
      <c r="J9" s="682">
        <f>'07 Čas cestujúcich'!J33</f>
        <v>513561.21265016362</v>
      </c>
      <c r="K9" s="682">
        <f>'07 Čas cestujúcich'!K33</f>
        <v>520101.09032354981</v>
      </c>
      <c r="L9" s="682">
        <f>'07 Čas cestujúcich'!L33</f>
        <v>526465.43627123185</v>
      </c>
      <c r="M9" s="682">
        <f>'07 Čas cestujúcich'!M33</f>
        <v>532829.78221891401</v>
      </c>
      <c r="N9" s="682">
        <f>'07 Čas cestujúcich'!N33</f>
        <v>539369.65989230014</v>
      </c>
      <c r="O9" s="682">
        <f>'07 Čas cestujúcich'!O33</f>
        <v>545909.53756568627</v>
      </c>
      <c r="P9" s="682">
        <f>'07 Čas cestujúcich'!P33</f>
        <v>552449.41523907229</v>
      </c>
      <c r="Q9" s="682">
        <f>'07 Čas cestujúcich'!Q33</f>
        <v>559014.53660545265</v>
      </c>
      <c r="R9" s="682">
        <f>'07 Čas cestujúcich'!R33</f>
        <v>565579.65797183302</v>
      </c>
      <c r="S9" s="682">
        <f>'07 Čas cestujúcich'!S33</f>
        <v>572144.77933821338</v>
      </c>
      <c r="T9" s="682">
        <f>'07 Čas cestujúcich'!T33</f>
        <v>577727.66156543698</v>
      </c>
      <c r="U9" s="682">
        <f>'07 Čas cestujúcich'!U33</f>
        <v>583695.81010921835</v>
      </c>
      <c r="V9" s="682">
        <f>'07 Čas cestujúcich'!V33</f>
        <v>588420.49549693929</v>
      </c>
      <c r="W9" s="682">
        <f>'07 Čas cestujúcich'!W33</f>
        <v>593557.23822679138</v>
      </c>
      <c r="X9" s="682">
        <f>'07 Čas cestujúcich'!X33</f>
        <v>598671.08030374232</v>
      </c>
      <c r="Y9" s="682">
        <f>'07 Čas cestujúcich'!Y33</f>
        <v>603762.09278343257</v>
      </c>
      <c r="Z9" s="682">
        <f>'07 Čas cestujúcich'!Z33</f>
        <v>608830.34652888274</v>
      </c>
      <c r="AA9" s="682">
        <f>'07 Čas cestujúcich'!AA33</f>
        <v>614048.65501018392</v>
      </c>
      <c r="AB9" s="682">
        <f>'07 Čas cestujúcich'!AB33</f>
        <v>619243.65493617405</v>
      </c>
      <c r="AC9" s="682">
        <f>'07 Čas cestujúcich'!AC33</f>
        <v>624415.41866784019</v>
      </c>
      <c r="AD9" s="682">
        <f>'07 Čas cestujúcich'!AD33</f>
        <v>629588.71222213167</v>
      </c>
      <c r="AE9" s="682">
        <f>'07 Čas cestujúcich'!AE33</f>
        <v>634738.81494053139</v>
      </c>
      <c r="AF9" s="682">
        <f>'07 Čas cestujúcich'!AF33</f>
        <v>639670.18145055161</v>
      </c>
      <c r="AG9" s="682">
        <f>'07 Čas cestujúcich'!AG33</f>
        <v>644579.28353927203</v>
      </c>
      <c r="AH9" s="682">
        <f>'07 Čas cestujúcich'!AH33</f>
        <v>649490.68743212894</v>
      </c>
      <c r="AI9" s="682">
        <f>'07 Čas cestujúcich'!AI33</f>
        <v>654525.41767726419</v>
      </c>
      <c r="AJ9" s="682">
        <f>'07 Čas cestujúcich'!AJ33</f>
        <v>659537.41103866929</v>
      </c>
      <c r="AK9" s="682">
        <f>'07 Čas cestujúcich'!AK33</f>
        <v>664526.73832495767</v>
      </c>
      <c r="AL9" s="682">
        <f>'07 Čas cestujúcich'!AL33</f>
        <v>669517.77165767062</v>
      </c>
    </row>
    <row r="10" spans="2:38" x14ac:dyDescent="0.2">
      <c r="B10" s="281" t="s">
        <v>408</v>
      </c>
      <c r="C10" s="682">
        <f>D10+NPV(Parametre!$C$10,E10:AL10)</f>
        <v>0</v>
      </c>
      <c r="D10" s="682">
        <f>'07 Čas cestujúcich'!D50</f>
        <v>0</v>
      </c>
      <c r="E10" s="682">
        <f>'07 Čas cestujúcich'!E50</f>
        <v>0</v>
      </c>
      <c r="F10" s="682">
        <f>'07 Čas cestujúcich'!F50</f>
        <v>0</v>
      </c>
      <c r="G10" s="682">
        <f>'07 Čas cestujúcich'!G50</f>
        <v>0</v>
      </c>
      <c r="H10" s="682">
        <f>'07 Čas cestujúcich'!H50</f>
        <v>0</v>
      </c>
      <c r="I10" s="682">
        <f>'07 Čas cestujúcich'!I50</f>
        <v>0</v>
      </c>
      <c r="J10" s="682">
        <f>'07 Čas cestujúcich'!J50</f>
        <v>0</v>
      </c>
      <c r="K10" s="682">
        <f>'07 Čas cestujúcich'!K50</f>
        <v>0</v>
      </c>
      <c r="L10" s="682">
        <f>'07 Čas cestujúcich'!L50</f>
        <v>0</v>
      </c>
      <c r="M10" s="682">
        <f>'07 Čas cestujúcich'!M50</f>
        <v>0</v>
      </c>
      <c r="N10" s="682">
        <f>'07 Čas cestujúcich'!N50</f>
        <v>0</v>
      </c>
      <c r="O10" s="682">
        <f>'07 Čas cestujúcich'!O50</f>
        <v>0</v>
      </c>
      <c r="P10" s="682">
        <f>'07 Čas cestujúcich'!P50</f>
        <v>0</v>
      </c>
      <c r="Q10" s="682">
        <f>'07 Čas cestujúcich'!Q50</f>
        <v>0</v>
      </c>
      <c r="R10" s="682">
        <f>'07 Čas cestujúcich'!R50</f>
        <v>0</v>
      </c>
      <c r="S10" s="682">
        <f>'07 Čas cestujúcich'!S50</f>
        <v>0</v>
      </c>
      <c r="T10" s="682">
        <f>'07 Čas cestujúcich'!T50</f>
        <v>0</v>
      </c>
      <c r="U10" s="682">
        <f>'07 Čas cestujúcich'!U50</f>
        <v>0</v>
      </c>
      <c r="V10" s="682">
        <f>'07 Čas cestujúcich'!V50</f>
        <v>0</v>
      </c>
      <c r="W10" s="682">
        <f>'07 Čas cestujúcich'!W50</f>
        <v>0</v>
      </c>
      <c r="X10" s="682">
        <f>'07 Čas cestujúcich'!X50</f>
        <v>0</v>
      </c>
      <c r="Y10" s="682">
        <f>'07 Čas cestujúcich'!Y50</f>
        <v>0</v>
      </c>
      <c r="Z10" s="682">
        <f>'07 Čas cestujúcich'!Z50</f>
        <v>0</v>
      </c>
      <c r="AA10" s="682">
        <f>'07 Čas cestujúcich'!AA50</f>
        <v>0</v>
      </c>
      <c r="AB10" s="682">
        <f>'07 Čas cestujúcich'!AB50</f>
        <v>0</v>
      </c>
      <c r="AC10" s="682">
        <f>'07 Čas cestujúcich'!AC50</f>
        <v>0</v>
      </c>
      <c r="AD10" s="682">
        <f>'07 Čas cestujúcich'!AD50</f>
        <v>0</v>
      </c>
      <c r="AE10" s="682">
        <f>'07 Čas cestujúcich'!AE50</f>
        <v>0</v>
      </c>
      <c r="AF10" s="682">
        <f>'07 Čas cestujúcich'!AF50</f>
        <v>0</v>
      </c>
      <c r="AG10" s="682">
        <f>'07 Čas cestujúcich'!AG50</f>
        <v>0</v>
      </c>
      <c r="AH10" s="682">
        <f>'07 Čas cestujúcich'!AH50</f>
        <v>0</v>
      </c>
      <c r="AI10" s="682">
        <f>'07 Čas cestujúcich'!AI50</f>
        <v>0</v>
      </c>
      <c r="AJ10" s="682">
        <f>'07 Čas cestujúcich'!AJ50</f>
        <v>0</v>
      </c>
      <c r="AK10" s="682">
        <f>'07 Čas cestujúcich'!AK50</f>
        <v>0</v>
      </c>
      <c r="AL10" s="682">
        <f>'07 Čas cestujúcich'!AL50</f>
        <v>0</v>
      </c>
    </row>
    <row r="11" spans="2:38" x14ac:dyDescent="0.2">
      <c r="B11" s="260" t="s">
        <v>409</v>
      </c>
      <c r="C11" s="37">
        <f>D11+NPV(Parametre!$C$10,E11:AL11)</f>
        <v>12398605.135469655</v>
      </c>
      <c r="D11" s="37">
        <f>SUM(D12:D13)</f>
        <v>0</v>
      </c>
      <c r="E11" s="37">
        <f t="shared" ref="E11:AF11" si="9">SUM(E12:E13)</f>
        <v>0</v>
      </c>
      <c r="F11" s="37">
        <f t="shared" si="9"/>
        <v>0</v>
      </c>
      <c r="G11" s="37">
        <f t="shared" si="9"/>
        <v>721586.81379025104</v>
      </c>
      <c r="H11" s="37">
        <f t="shared" si="9"/>
        <v>721586.81379025104</v>
      </c>
      <c r="I11" s="37">
        <f t="shared" si="9"/>
        <v>721586.81379025104</v>
      </c>
      <c r="J11" s="37">
        <f t="shared" si="9"/>
        <v>721586.81379025104</v>
      </c>
      <c r="K11" s="37">
        <f t="shared" si="9"/>
        <v>721586.81379025104</v>
      </c>
      <c r="L11" s="37">
        <f t="shared" si="9"/>
        <v>721586.81379025104</v>
      </c>
      <c r="M11" s="37">
        <f t="shared" si="9"/>
        <v>721586.81379025104</v>
      </c>
      <c r="N11" s="37">
        <f t="shared" si="9"/>
        <v>721586.81379025104</v>
      </c>
      <c r="O11" s="37">
        <f t="shared" si="9"/>
        <v>721586.81379025104</v>
      </c>
      <c r="P11" s="37">
        <f t="shared" si="9"/>
        <v>721586.81379025104</v>
      </c>
      <c r="Q11" s="37">
        <f t="shared" si="9"/>
        <v>721586.81379025104</v>
      </c>
      <c r="R11" s="37">
        <f t="shared" si="9"/>
        <v>721586.81379025104</v>
      </c>
      <c r="S11" s="37">
        <f t="shared" si="9"/>
        <v>721586.81379025104</v>
      </c>
      <c r="T11" s="37">
        <f t="shared" si="9"/>
        <v>720143.64016267052</v>
      </c>
      <c r="U11" s="37">
        <f t="shared" si="9"/>
        <v>718703.35288234521</v>
      </c>
      <c r="V11" s="37">
        <f t="shared" si="9"/>
        <v>717265.9461765805</v>
      </c>
      <c r="W11" s="37">
        <f t="shared" si="9"/>
        <v>715831.41428422742</v>
      </c>
      <c r="X11" s="37">
        <f t="shared" si="9"/>
        <v>714399.75145565881</v>
      </c>
      <c r="Y11" s="37">
        <f t="shared" si="9"/>
        <v>712970.95195274753</v>
      </c>
      <c r="Z11" s="37">
        <f t="shared" si="9"/>
        <v>711545.01004884206</v>
      </c>
      <c r="AA11" s="37">
        <f t="shared" si="9"/>
        <v>710121.92002874438</v>
      </c>
      <c r="AB11" s="37">
        <f t="shared" si="9"/>
        <v>708701.67618868686</v>
      </c>
      <c r="AC11" s="37">
        <f t="shared" si="9"/>
        <v>707284.27283630951</v>
      </c>
      <c r="AD11" s="37">
        <f t="shared" si="9"/>
        <v>705869.7042906367</v>
      </c>
      <c r="AE11" s="37">
        <f t="shared" si="9"/>
        <v>704457.96488205553</v>
      </c>
      <c r="AF11" s="37">
        <f t="shared" si="9"/>
        <v>703049.04895229137</v>
      </c>
      <c r="AG11" s="37">
        <f t="shared" ref="AG11:AL11" si="10">SUM(AG12:AG13)</f>
        <v>701642.95085438679</v>
      </c>
      <c r="AH11" s="37">
        <f t="shared" si="10"/>
        <v>1400479.3299053563</v>
      </c>
      <c r="AI11" s="37">
        <f t="shared" si="10"/>
        <v>2096517.5568683182</v>
      </c>
      <c r="AJ11" s="37">
        <f t="shared" si="10"/>
        <v>2789766.0290061096</v>
      </c>
      <c r="AK11" s="37">
        <f t="shared" si="10"/>
        <v>3480233.1211851211</v>
      </c>
      <c r="AL11" s="37">
        <f t="shared" si="10"/>
        <v>4167927.1859313007</v>
      </c>
    </row>
    <row r="12" spans="2:38" x14ac:dyDescent="0.2">
      <c r="B12" s="281" t="s">
        <v>410</v>
      </c>
      <c r="C12" s="682">
        <f>D12+NPV(Parametre!$C$10,E12:AL12)</f>
        <v>5882062.6162007144</v>
      </c>
      <c r="D12" s="682">
        <f>'08 Spotreba PHM_E (cesty)'!D80</f>
        <v>0</v>
      </c>
      <c r="E12" s="682">
        <f>'08 Spotreba PHM_E (cesty)'!E80</f>
        <v>0</v>
      </c>
      <c r="F12" s="682">
        <f>'08 Spotreba PHM_E (cesty)'!F80</f>
        <v>0</v>
      </c>
      <c r="G12" s="682">
        <f>'08 Spotreba PHM_E (cesty)'!G80</f>
        <v>342330.34888712456</v>
      </c>
      <c r="H12" s="682">
        <f>'08 Spotreba PHM_E (cesty)'!H80</f>
        <v>342330.34888712456</v>
      </c>
      <c r="I12" s="682">
        <f>'08 Spotreba PHM_E (cesty)'!I80</f>
        <v>342330.34888712456</v>
      </c>
      <c r="J12" s="682">
        <f>'08 Spotreba PHM_E (cesty)'!J80</f>
        <v>342330.34888712456</v>
      </c>
      <c r="K12" s="682">
        <f>'08 Spotreba PHM_E (cesty)'!K80</f>
        <v>342330.34888712456</v>
      </c>
      <c r="L12" s="682">
        <f>'08 Spotreba PHM_E (cesty)'!L80</f>
        <v>342330.34888712456</v>
      </c>
      <c r="M12" s="682">
        <f>'08 Spotreba PHM_E (cesty)'!M80</f>
        <v>342330.34888712456</v>
      </c>
      <c r="N12" s="682">
        <f>'08 Spotreba PHM_E (cesty)'!N80</f>
        <v>342330.34888712456</v>
      </c>
      <c r="O12" s="682">
        <f>'08 Spotreba PHM_E (cesty)'!O80</f>
        <v>342330.34888712456</v>
      </c>
      <c r="P12" s="682">
        <f>'08 Spotreba PHM_E (cesty)'!P80</f>
        <v>342330.34888712456</v>
      </c>
      <c r="Q12" s="682">
        <f>'08 Spotreba PHM_E (cesty)'!Q80</f>
        <v>342330.34888712456</v>
      </c>
      <c r="R12" s="682">
        <f>'08 Spotreba PHM_E (cesty)'!R80</f>
        <v>342330.34888712456</v>
      </c>
      <c r="S12" s="682">
        <f>'08 Spotreba PHM_E (cesty)'!S80</f>
        <v>342330.34888712456</v>
      </c>
      <c r="T12" s="682">
        <f>'08 Spotreba PHM_E (cesty)'!T80</f>
        <v>341645.6881893503</v>
      </c>
      <c r="U12" s="682">
        <f>'08 Spotreba PHM_E (cesty)'!U80</f>
        <v>340962.39681297168</v>
      </c>
      <c r="V12" s="682">
        <f>'08 Spotreba PHM_E (cesty)'!V80</f>
        <v>340280.47201934573</v>
      </c>
      <c r="W12" s="682">
        <f>'08 Spotreba PHM_E (cesty)'!W80</f>
        <v>339599.91107530706</v>
      </c>
      <c r="X12" s="682">
        <f>'08 Spotreba PHM_E (cesty)'!X80</f>
        <v>338920.71125315642</v>
      </c>
      <c r="Y12" s="682">
        <f>'08 Spotreba PHM_E (cesty)'!Y80</f>
        <v>338242.8698306501</v>
      </c>
      <c r="Z12" s="682">
        <f>'08 Spotreba PHM_E (cesty)'!Z80</f>
        <v>337566.38409098878</v>
      </c>
      <c r="AA12" s="682">
        <f>'08 Spotreba PHM_E (cesty)'!AA80</f>
        <v>336891.25132280681</v>
      </c>
      <c r="AB12" s="682">
        <f>'08 Spotreba PHM_E (cesty)'!AB80</f>
        <v>336217.46882016119</v>
      </c>
      <c r="AC12" s="682">
        <f>'08 Spotreba PHM_E (cesty)'!AC80</f>
        <v>335545.03388252086</v>
      </c>
      <c r="AD12" s="682">
        <f>'08 Spotreba PHM_E (cesty)'!AD80</f>
        <v>334873.94381475577</v>
      </c>
      <c r="AE12" s="682">
        <f>'08 Spotreba PHM_E (cesty)'!AE80</f>
        <v>334204.19592712627</v>
      </c>
      <c r="AF12" s="682">
        <f>'08 Spotreba PHM_E (cesty)'!AF80</f>
        <v>333535.78753527196</v>
      </c>
      <c r="AG12" s="682">
        <f>'08 Spotreba PHM_E (cesty)'!AG80</f>
        <v>332868.71596020146</v>
      </c>
      <c r="AH12" s="682">
        <f>'08 Spotreba PHM_E (cesty)'!AH80</f>
        <v>664405.95705656218</v>
      </c>
      <c r="AI12" s="682">
        <f>'08 Spotreba PHM_E (cesty)'!AI80</f>
        <v>994615.7177136736</v>
      </c>
      <c r="AJ12" s="682">
        <f>'08 Spotreba PHM_E (cesty)'!AJ80</f>
        <v>1323501.9817043287</v>
      </c>
      <c r="AK12" s="682">
        <f>'08 Spotreba PHM_E (cesty)'!AK80</f>
        <v>1651068.7221761497</v>
      </c>
      <c r="AL12" s="682">
        <f>'08 Spotreba PHM_E (cesty)'!AL80</f>
        <v>1977319.901678157</v>
      </c>
    </row>
    <row r="13" spans="2:38" x14ac:dyDescent="0.2">
      <c r="B13" s="281" t="s">
        <v>411</v>
      </c>
      <c r="C13" s="682">
        <f>D13+NPV(Parametre!$C$10,E13:AL13)</f>
        <v>6516542.5192689411</v>
      </c>
      <c r="D13" s="682">
        <f>'09 Ostatné náklady (cesty)'!D73</f>
        <v>0</v>
      </c>
      <c r="E13" s="682">
        <f>'09 Ostatné náklady (cesty)'!E73</f>
        <v>0</v>
      </c>
      <c r="F13" s="682">
        <f>'09 Ostatné náklady (cesty)'!F73</f>
        <v>0</v>
      </c>
      <c r="G13" s="682">
        <f>'09 Ostatné náklady (cesty)'!G73</f>
        <v>379256.46490312641</v>
      </c>
      <c r="H13" s="682">
        <f>'09 Ostatné náklady (cesty)'!H73</f>
        <v>379256.46490312641</v>
      </c>
      <c r="I13" s="682">
        <f>'09 Ostatné náklady (cesty)'!I73</f>
        <v>379256.46490312641</v>
      </c>
      <c r="J13" s="682">
        <f>'09 Ostatné náklady (cesty)'!J73</f>
        <v>379256.46490312641</v>
      </c>
      <c r="K13" s="682">
        <f>'09 Ostatné náklady (cesty)'!K73</f>
        <v>379256.46490312641</v>
      </c>
      <c r="L13" s="682">
        <f>'09 Ostatné náklady (cesty)'!L73</f>
        <v>379256.46490312641</v>
      </c>
      <c r="M13" s="682">
        <f>'09 Ostatné náklady (cesty)'!M73</f>
        <v>379256.46490312641</v>
      </c>
      <c r="N13" s="682">
        <f>'09 Ostatné náklady (cesty)'!N73</f>
        <v>379256.46490312641</v>
      </c>
      <c r="O13" s="682">
        <f>'09 Ostatné náklady (cesty)'!O73</f>
        <v>379256.46490312641</v>
      </c>
      <c r="P13" s="682">
        <f>'09 Ostatné náklady (cesty)'!P73</f>
        <v>379256.46490312641</v>
      </c>
      <c r="Q13" s="682">
        <f>'09 Ostatné náklady (cesty)'!Q73</f>
        <v>379256.46490312641</v>
      </c>
      <c r="R13" s="682">
        <f>'09 Ostatné náklady (cesty)'!R73</f>
        <v>379256.46490312641</v>
      </c>
      <c r="S13" s="682">
        <f>'09 Ostatné náklady (cesty)'!S73</f>
        <v>379256.46490312641</v>
      </c>
      <c r="T13" s="682">
        <f>'09 Ostatné náklady (cesty)'!T73</f>
        <v>378497.95197332016</v>
      </c>
      <c r="U13" s="682">
        <f>'09 Ostatné náklady (cesty)'!U73</f>
        <v>377740.95606937358</v>
      </c>
      <c r="V13" s="682">
        <f>'09 Ostatné náklady (cesty)'!V73</f>
        <v>376985.47415723477</v>
      </c>
      <c r="W13" s="682">
        <f>'09 Ostatné náklady (cesty)'!W73</f>
        <v>376231.50320892036</v>
      </c>
      <c r="X13" s="682">
        <f>'09 Ostatné náklady (cesty)'!X73</f>
        <v>375479.04020250245</v>
      </c>
      <c r="Y13" s="682">
        <f>'09 Ostatné náklady (cesty)'!Y73</f>
        <v>374728.08212209749</v>
      </c>
      <c r="Z13" s="682">
        <f>'09 Ostatné náklady (cesty)'!Z73</f>
        <v>373978.62595785328</v>
      </c>
      <c r="AA13" s="682">
        <f>'09 Ostatné náklady (cesty)'!AA73</f>
        <v>373230.66870593757</v>
      </c>
      <c r="AB13" s="682">
        <f>'09 Ostatné náklady (cesty)'!AB73</f>
        <v>372484.20736852562</v>
      </c>
      <c r="AC13" s="682">
        <f>'09 Ostatné náklady (cesty)'!AC73</f>
        <v>371739.23895378865</v>
      </c>
      <c r="AD13" s="682">
        <f>'09 Ostatné náklady (cesty)'!AD73</f>
        <v>370995.76047588093</v>
      </c>
      <c r="AE13" s="682">
        <f>'09 Ostatné náklady (cesty)'!AE73</f>
        <v>370253.76895492926</v>
      </c>
      <c r="AF13" s="682">
        <f>'09 Ostatné náklady (cesty)'!AF73</f>
        <v>369513.26141701941</v>
      </c>
      <c r="AG13" s="682">
        <f>'09 Ostatné náklady (cesty)'!AG73</f>
        <v>368774.23489418533</v>
      </c>
      <c r="AH13" s="682">
        <f>'09 Ostatné náklady (cesty)'!AH73</f>
        <v>736073.3728487941</v>
      </c>
      <c r="AI13" s="682">
        <f>'09 Ostatné náklady (cesty)'!AI73</f>
        <v>1101901.8391546446</v>
      </c>
      <c r="AJ13" s="682">
        <f>'09 Ostatné náklady (cesty)'!AJ73</f>
        <v>1466264.0473017809</v>
      </c>
      <c r="AK13" s="682">
        <f>'09 Ostatné náklady (cesty)'!AK73</f>
        <v>1829164.3990089712</v>
      </c>
      <c r="AL13" s="682">
        <f>'09 Ostatné náklady (cesty)'!AL73</f>
        <v>2190607.2842531437</v>
      </c>
    </row>
    <row r="14" spans="2:38" x14ac:dyDescent="0.2">
      <c r="B14" s="282" t="s">
        <v>414</v>
      </c>
      <c r="C14" s="37">
        <f>D14+NPV(Parametre!$C$10,E14:AL14)</f>
        <v>22334392.546857316</v>
      </c>
      <c r="D14" s="37">
        <f>'10 Bezpečnosť (cesty)'!D26</f>
        <v>0</v>
      </c>
      <c r="E14" s="37">
        <f>'10 Bezpečnosť (cesty)'!E26</f>
        <v>0</v>
      </c>
      <c r="F14" s="37">
        <f>'10 Bezpečnosť (cesty)'!F26</f>
        <v>0</v>
      </c>
      <c r="G14" s="37">
        <f>'10 Bezpečnosť (cesty)'!G26</f>
        <v>1365051.5078660995</v>
      </c>
      <c r="H14" s="37">
        <f>'10 Bezpečnosť (cesty)'!H26</f>
        <v>1384708.2681193501</v>
      </c>
      <c r="I14" s="37">
        <f>'10 Bezpečnosť (cesty)'!I26</f>
        <v>1402432.5635572746</v>
      </c>
      <c r="J14" s="37">
        <f>'10 Bezpečnosť (cesty)'!J26</f>
        <v>1420383.6988616213</v>
      </c>
      <c r="K14" s="37">
        <f>'10 Bezpečnosť (cesty)'!K26</f>
        <v>1437428.3146114796</v>
      </c>
      <c r="L14" s="37">
        <f>'10 Bezpečnosť (cesty)'!L26</f>
        <v>1454677.4278692082</v>
      </c>
      <c r="M14" s="37">
        <f>'10 Bezpečnosť (cesty)'!M26</f>
        <v>1472133.5402883589</v>
      </c>
      <c r="N14" s="37">
        <f>'10 Bezpečnosť (cesty)'!N26</f>
        <v>1489799.1726906076</v>
      </c>
      <c r="O14" s="37">
        <f>'10 Bezpečnosť (cesty)'!O26</f>
        <v>1507676.7325747907</v>
      </c>
      <c r="P14" s="37">
        <f>'10 Bezpečnosť (cesty)'!P26</f>
        <v>1525768.8594657406</v>
      </c>
      <c r="Q14" s="37">
        <f>'10 Bezpečnosť (cesty)'!Q26</f>
        <v>1544078.069395192</v>
      </c>
      <c r="R14" s="37">
        <f>'10 Bezpečnosť (cesty)'!R26</f>
        <v>1562606.976521343</v>
      </c>
      <c r="S14" s="37">
        <f>'10 Bezpečnosť (cesty)'!S26</f>
        <v>1581358.2820988148</v>
      </c>
      <c r="T14" s="37">
        <f>'10 Bezpečnosť (cesty)'!T26</f>
        <v>1597133.9085804373</v>
      </c>
      <c r="U14" s="37">
        <f>'10 Bezpečnosť (cesty)'!U26</f>
        <v>1610516.6143652648</v>
      </c>
      <c r="V14" s="37">
        <f>'10 Bezpečnosť (cesty)'!V26</f>
        <v>1624011.4528405219</v>
      </c>
      <c r="W14" s="37">
        <f>'10 Bezpečnosť (cesty)'!W26</f>
        <v>1637619.3827013671</v>
      </c>
      <c r="X14" s="37">
        <f>'10 Bezpečnosť (cesty)'!X26</f>
        <v>1651341.3473362178</v>
      </c>
      <c r="Y14" s="37">
        <f>'10 Bezpečnosť (cesty)'!Y26</f>
        <v>1665178.2440693453</v>
      </c>
      <c r="Z14" s="37">
        <f>'10 Bezpečnosť (cesty)'!Z26</f>
        <v>1679131.0974387601</v>
      </c>
      <c r="AA14" s="37">
        <f>'10 Bezpečnosť (cesty)'!AA26</f>
        <v>1693200.867573373</v>
      </c>
      <c r="AB14" s="37">
        <f>'10 Bezpečnosť (cesty)'!AB26</f>
        <v>1707388.5197283104</v>
      </c>
      <c r="AC14" s="37">
        <f>'10 Bezpečnosť (cesty)'!AC26</f>
        <v>1721695.0924530476</v>
      </c>
      <c r="AD14" s="37">
        <f>'10 Bezpečnosť (cesty)'!AD26</f>
        <v>1736121.4940979779</v>
      </c>
      <c r="AE14" s="37">
        <f>'10 Bezpečnosť (cesty)'!AE26</f>
        <v>1749282.6655531377</v>
      </c>
      <c r="AF14" s="37">
        <f>'10 Bezpečnosť (cesty)'!AF26</f>
        <v>1762543.6274211109</v>
      </c>
      <c r="AG14" s="37">
        <f>'10 Bezpečnosť (cesty)'!AG26</f>
        <v>1775905.1311916411</v>
      </c>
      <c r="AH14" s="37">
        <f>'10 Bezpečnosť (cesty)'!AH26</f>
        <v>1789367.9425029457</v>
      </c>
      <c r="AI14" s="37">
        <f>'10 Bezpečnosť (cesty)'!AI26</f>
        <v>1802932.7568384856</v>
      </c>
      <c r="AJ14" s="37">
        <f>'10 Bezpečnosť (cesty)'!AJ26</f>
        <v>1816600.4037320912</v>
      </c>
      <c r="AK14" s="37">
        <f>'10 Bezpečnosť (cesty)'!AK26</f>
        <v>1830371.71215415</v>
      </c>
      <c r="AL14" s="37">
        <f>'10 Bezpečnosť (cesty)'!AL26</f>
        <v>1844247.3897082061</v>
      </c>
    </row>
    <row r="15" spans="2:38" x14ac:dyDescent="0.2">
      <c r="B15" s="260" t="s">
        <v>202</v>
      </c>
      <c r="C15" s="37">
        <f>D15+NPV(Parametre!$C$10,E15:AL15)</f>
        <v>1561543.5403180625</v>
      </c>
      <c r="D15" s="37">
        <f>SUM(D16:D17)</f>
        <v>0</v>
      </c>
      <c r="E15" s="37">
        <f t="shared" ref="E15:AF15" si="11">SUM(E16:E17)</f>
        <v>0</v>
      </c>
      <c r="F15" s="37">
        <f t="shared" si="11"/>
        <v>0</v>
      </c>
      <c r="G15" s="37">
        <f t="shared" si="11"/>
        <v>76120.422082968769</v>
      </c>
      <c r="H15" s="37">
        <f t="shared" si="11"/>
        <v>77164.924134198824</v>
      </c>
      <c r="I15" s="37">
        <f t="shared" si="11"/>
        <v>78274.016731935801</v>
      </c>
      <c r="J15" s="37">
        <f t="shared" si="11"/>
        <v>79288.001283570033</v>
      </c>
      <c r="K15" s="37">
        <f t="shared" si="11"/>
        <v>80304.177204976557</v>
      </c>
      <c r="L15" s="37">
        <f t="shared" si="11"/>
        <v>81285.297368995642</v>
      </c>
      <c r="M15" s="37">
        <f t="shared" si="11"/>
        <v>82268.608902786946</v>
      </c>
      <c r="N15" s="37">
        <f t="shared" si="11"/>
        <v>83255.363009483786</v>
      </c>
      <c r="O15" s="37">
        <f t="shared" si="11"/>
        <v>84269.347561118033</v>
      </c>
      <c r="P15" s="37">
        <f t="shared" si="11"/>
        <v>85284.427797638404</v>
      </c>
      <c r="Q15" s="37">
        <f t="shared" si="11"/>
        <v>86304.046291950392</v>
      </c>
      <c r="R15" s="37">
        <f t="shared" si="11"/>
        <v>87348.548343180446</v>
      </c>
      <c r="S15" s="37">
        <f t="shared" si="11"/>
        <v>88396.492967315993</v>
      </c>
      <c r="T15" s="37">
        <f t="shared" si="11"/>
        <v>89292.682241566668</v>
      </c>
      <c r="U15" s="37">
        <f t="shared" si="11"/>
        <v>90186.024479277505</v>
      </c>
      <c r="V15" s="37">
        <f t="shared" si="11"/>
        <v>90951.497415296748</v>
      </c>
      <c r="W15" s="37">
        <f t="shared" si="11"/>
        <v>91717.005034813861</v>
      </c>
      <c r="X15" s="37">
        <f t="shared" si="11"/>
        <v>92480.171589640886</v>
      </c>
      <c r="Y15" s="37">
        <f t="shared" si="11"/>
        <v>93265.69928121168</v>
      </c>
      <c r="Z15" s="37">
        <f t="shared" si="11"/>
        <v>94052.190043458031</v>
      </c>
      <c r="AA15" s="37">
        <f t="shared" si="11"/>
        <v>94836.281923894916</v>
      </c>
      <c r="AB15" s="37">
        <f t="shared" si="11"/>
        <v>95642.487524170123</v>
      </c>
      <c r="AC15" s="37">
        <f t="shared" si="11"/>
        <v>96447.236891642679</v>
      </c>
      <c r="AD15" s="37">
        <f t="shared" si="11"/>
        <v>97251.752280837376</v>
      </c>
      <c r="AE15" s="37">
        <f t="shared" si="11"/>
        <v>98075.845487008482</v>
      </c>
      <c r="AF15" s="37">
        <f t="shared" si="11"/>
        <v>98835.608711660694</v>
      </c>
      <c r="AG15" s="37">
        <f t="shared" ref="AG15:AL15" si="12">SUM(AG16:AG17)</f>
        <v>99594.071382763359</v>
      </c>
      <c r="AH15" s="37">
        <f t="shared" si="12"/>
        <v>200704.89117978059</v>
      </c>
      <c r="AI15" s="37">
        <f t="shared" si="12"/>
        <v>303325.47081177117</v>
      </c>
      <c r="AJ15" s="37">
        <f t="shared" si="12"/>
        <v>407545.31398744241</v>
      </c>
      <c r="AK15" s="37">
        <f t="shared" si="12"/>
        <v>513308.53919977334</v>
      </c>
      <c r="AL15" s="37">
        <f t="shared" si="12"/>
        <v>620627.68196175282</v>
      </c>
    </row>
    <row r="16" spans="2:38" x14ac:dyDescent="0.2">
      <c r="B16" s="281" t="s">
        <v>412</v>
      </c>
      <c r="C16" s="682">
        <f>D16+NPV(Parametre!$C$10,E16:AL16)</f>
        <v>0</v>
      </c>
      <c r="D16" s="682">
        <f>'11a Znečisťujúce látky (voz.)'!D75</f>
        <v>0</v>
      </c>
      <c r="E16" s="682">
        <f>'11a Znečisťujúce látky (voz.)'!E75</f>
        <v>0</v>
      </c>
      <c r="F16" s="682">
        <f>'11a Znečisťujúce látky (voz.)'!F75</f>
        <v>0</v>
      </c>
      <c r="G16" s="682">
        <f>'11a Znečisťujúce látky (voz.)'!G75</f>
        <v>0</v>
      </c>
      <c r="H16" s="682">
        <f>'11a Znečisťujúce látky (voz.)'!H75</f>
        <v>0</v>
      </c>
      <c r="I16" s="682">
        <f>'11a Znečisťujúce látky (voz.)'!I75</f>
        <v>0</v>
      </c>
      <c r="J16" s="682">
        <f>'11a Znečisťujúce látky (voz.)'!J75</f>
        <v>0</v>
      </c>
      <c r="K16" s="682">
        <f>'11a Znečisťujúce látky (voz.)'!K75</f>
        <v>0</v>
      </c>
      <c r="L16" s="682">
        <f>'11a Znečisťujúce látky (voz.)'!L75</f>
        <v>0</v>
      </c>
      <c r="M16" s="682">
        <f>'11a Znečisťujúce látky (voz.)'!M75</f>
        <v>0</v>
      </c>
      <c r="N16" s="682">
        <f>'11a Znečisťujúce látky (voz.)'!N75</f>
        <v>0</v>
      </c>
      <c r="O16" s="682">
        <f>'11a Znečisťujúce látky (voz.)'!O75</f>
        <v>0</v>
      </c>
      <c r="P16" s="682">
        <f>'11a Znečisťujúce látky (voz.)'!P75</f>
        <v>0</v>
      </c>
      <c r="Q16" s="682">
        <f>'11a Znečisťujúce látky (voz.)'!Q75</f>
        <v>0</v>
      </c>
      <c r="R16" s="682">
        <f>'11a Znečisťujúce látky (voz.)'!R75</f>
        <v>0</v>
      </c>
      <c r="S16" s="682">
        <f>'11a Znečisťujúce látky (voz.)'!S75</f>
        <v>0</v>
      </c>
      <c r="T16" s="682">
        <f>'11a Znečisťujúce látky (voz.)'!T75</f>
        <v>0</v>
      </c>
      <c r="U16" s="682">
        <f>'11a Znečisťujúce látky (voz.)'!U75</f>
        <v>0</v>
      </c>
      <c r="V16" s="682">
        <f>'11a Znečisťujúce látky (voz.)'!V75</f>
        <v>0</v>
      </c>
      <c r="W16" s="682">
        <f>'11a Znečisťujúce látky (voz.)'!W75</f>
        <v>0</v>
      </c>
      <c r="X16" s="682">
        <f>'11a Znečisťujúce látky (voz.)'!X75</f>
        <v>0</v>
      </c>
      <c r="Y16" s="682">
        <f>'11a Znečisťujúce látky (voz.)'!Y75</f>
        <v>0</v>
      </c>
      <c r="Z16" s="682">
        <f>'11a Znečisťujúce látky (voz.)'!Z75</f>
        <v>0</v>
      </c>
      <c r="AA16" s="682">
        <f>'11a Znečisťujúce látky (voz.)'!AA75</f>
        <v>0</v>
      </c>
      <c r="AB16" s="682">
        <f>'11a Znečisťujúce látky (voz.)'!AB75</f>
        <v>0</v>
      </c>
      <c r="AC16" s="682">
        <f>'11a Znečisťujúce látky (voz.)'!AC75</f>
        <v>0</v>
      </c>
      <c r="AD16" s="682">
        <f>'11a Znečisťujúce látky (voz.)'!AD75</f>
        <v>0</v>
      </c>
      <c r="AE16" s="682">
        <f>'11a Znečisťujúce látky (voz.)'!AE75</f>
        <v>0</v>
      </c>
      <c r="AF16" s="682">
        <f>'11a Znečisťujúce látky (voz.)'!AF75</f>
        <v>0</v>
      </c>
      <c r="AG16" s="682">
        <f>'11a Znečisťujúce látky (voz.)'!AG75</f>
        <v>0</v>
      </c>
      <c r="AH16" s="682">
        <f>'11a Znečisťujúce látky (voz.)'!AH75</f>
        <v>0</v>
      </c>
      <c r="AI16" s="682">
        <f>'11a Znečisťujúce látky (voz.)'!AI75</f>
        <v>0</v>
      </c>
      <c r="AJ16" s="682">
        <f>'11a Znečisťujúce látky (voz.)'!AJ75</f>
        <v>0</v>
      </c>
      <c r="AK16" s="682">
        <f>'11a Znečisťujúce látky (voz.)'!AK75</f>
        <v>0</v>
      </c>
      <c r="AL16" s="682">
        <f>'11a Znečisťujúce látky (voz.)'!AL75</f>
        <v>0</v>
      </c>
    </row>
    <row r="17" spans="2:38" x14ac:dyDescent="0.2">
      <c r="B17" s="281" t="s">
        <v>413</v>
      </c>
      <c r="C17" s="682">
        <f>D17+NPV(Parametre!$C$10,E17:AL17)</f>
        <v>1561543.5403180625</v>
      </c>
      <c r="D17" s="682">
        <f>'11b Znečisťujúce látky (cesty)'!D51</f>
        <v>0</v>
      </c>
      <c r="E17" s="682">
        <f>'11b Znečisťujúce látky (cesty)'!E51</f>
        <v>0</v>
      </c>
      <c r="F17" s="682">
        <f>'11b Znečisťujúce látky (cesty)'!F51</f>
        <v>0</v>
      </c>
      <c r="G17" s="682">
        <f>'11b Znečisťujúce látky (cesty)'!G51</f>
        <v>76120.422082968769</v>
      </c>
      <c r="H17" s="682">
        <f>'11b Znečisťujúce látky (cesty)'!H51</f>
        <v>77164.924134198824</v>
      </c>
      <c r="I17" s="682">
        <f>'11b Znečisťujúce látky (cesty)'!I51</f>
        <v>78274.016731935801</v>
      </c>
      <c r="J17" s="682">
        <f>'11b Znečisťujúce látky (cesty)'!J51</f>
        <v>79288.001283570033</v>
      </c>
      <c r="K17" s="682">
        <f>'11b Znečisťujúce látky (cesty)'!K51</f>
        <v>80304.177204976557</v>
      </c>
      <c r="L17" s="682">
        <f>'11b Znečisťujúce látky (cesty)'!L51</f>
        <v>81285.297368995642</v>
      </c>
      <c r="M17" s="682">
        <f>'11b Znečisťujúce látky (cesty)'!M51</f>
        <v>82268.608902786946</v>
      </c>
      <c r="N17" s="682">
        <f>'11b Znečisťujúce látky (cesty)'!N51</f>
        <v>83255.363009483786</v>
      </c>
      <c r="O17" s="682">
        <f>'11b Znečisťujúce látky (cesty)'!O51</f>
        <v>84269.347561118033</v>
      </c>
      <c r="P17" s="682">
        <f>'11b Znečisťujúce látky (cesty)'!P51</f>
        <v>85284.427797638404</v>
      </c>
      <c r="Q17" s="682">
        <f>'11b Znečisťujúce látky (cesty)'!Q51</f>
        <v>86304.046291950392</v>
      </c>
      <c r="R17" s="682">
        <f>'11b Znečisťujúce látky (cesty)'!R51</f>
        <v>87348.548343180446</v>
      </c>
      <c r="S17" s="682">
        <f>'11b Znečisťujúce látky (cesty)'!S51</f>
        <v>88396.492967315993</v>
      </c>
      <c r="T17" s="682">
        <f>'11b Znečisťujúce látky (cesty)'!T51</f>
        <v>89292.682241566668</v>
      </c>
      <c r="U17" s="682">
        <f>'11b Znečisťujúce látky (cesty)'!U51</f>
        <v>90186.024479277505</v>
      </c>
      <c r="V17" s="682">
        <f>'11b Znečisťujúce látky (cesty)'!V51</f>
        <v>90951.497415296748</v>
      </c>
      <c r="W17" s="682">
        <f>'11b Znečisťujúce látky (cesty)'!W51</f>
        <v>91717.005034813861</v>
      </c>
      <c r="X17" s="682">
        <f>'11b Znečisťujúce látky (cesty)'!X51</f>
        <v>92480.171589640886</v>
      </c>
      <c r="Y17" s="682">
        <f>'11b Znečisťujúce látky (cesty)'!Y51</f>
        <v>93265.69928121168</v>
      </c>
      <c r="Z17" s="682">
        <f>'11b Znečisťujúce látky (cesty)'!Z51</f>
        <v>94052.190043458031</v>
      </c>
      <c r="AA17" s="682">
        <f>'11b Znečisťujúce látky (cesty)'!AA51</f>
        <v>94836.281923894916</v>
      </c>
      <c r="AB17" s="682">
        <f>'11b Znečisťujúce látky (cesty)'!AB51</f>
        <v>95642.487524170123</v>
      </c>
      <c r="AC17" s="682">
        <f>'11b Znečisťujúce látky (cesty)'!AC51</f>
        <v>96447.236891642679</v>
      </c>
      <c r="AD17" s="682">
        <f>'11b Znečisťujúce látky (cesty)'!AD51</f>
        <v>97251.752280837376</v>
      </c>
      <c r="AE17" s="682">
        <f>'11b Znečisťujúce látky (cesty)'!AE51</f>
        <v>98075.845487008482</v>
      </c>
      <c r="AF17" s="682">
        <f>'11b Znečisťujúce látky (cesty)'!AF51</f>
        <v>98835.608711660694</v>
      </c>
      <c r="AG17" s="682">
        <f>'11b Znečisťujúce látky (cesty)'!AG51</f>
        <v>99594.071382763359</v>
      </c>
      <c r="AH17" s="682">
        <f>'11b Znečisťujúce látky (cesty)'!AH51</f>
        <v>200704.89117978059</v>
      </c>
      <c r="AI17" s="682">
        <f>'11b Znečisťujúce látky (cesty)'!AI51</f>
        <v>303325.47081177117</v>
      </c>
      <c r="AJ17" s="682">
        <f>'11b Znečisťujúce látky (cesty)'!AJ51</f>
        <v>407545.31398744241</v>
      </c>
      <c r="AK17" s="682">
        <f>'11b Znečisťujúce látky (cesty)'!AK51</f>
        <v>513308.53919977334</v>
      </c>
      <c r="AL17" s="682">
        <f>'11b Znečisťujúce látky (cesty)'!AL51</f>
        <v>620627.68196175282</v>
      </c>
    </row>
    <row r="18" spans="2:38" x14ac:dyDescent="0.2">
      <c r="B18" s="260" t="s">
        <v>203</v>
      </c>
      <c r="C18" s="37">
        <f>D18+NPV(Parametre!$C$10,E18:AL18)</f>
        <v>41343984.707185745</v>
      </c>
      <c r="D18" s="37">
        <f>SUM(D19:D20)</f>
        <v>0</v>
      </c>
      <c r="E18" s="37">
        <f t="shared" ref="E18:AF18" si="13">SUM(E19:E20)</f>
        <v>0</v>
      </c>
      <c r="F18" s="37">
        <f t="shared" si="13"/>
        <v>0</v>
      </c>
      <c r="G18" s="37">
        <f t="shared" si="13"/>
        <v>1132326.6711628379</v>
      </c>
      <c r="H18" s="37">
        <f t="shared" si="13"/>
        <v>1229127.5862981668</v>
      </c>
      <c r="I18" s="37">
        <f t="shared" si="13"/>
        <v>1325928.5014334954</v>
      </c>
      <c r="J18" s="37">
        <f t="shared" si="13"/>
        <v>1422729.4165688246</v>
      </c>
      <c r="K18" s="37">
        <f t="shared" si="13"/>
        <v>1582166.2179681896</v>
      </c>
      <c r="L18" s="37">
        <f t="shared" si="13"/>
        <v>1741603.0193675547</v>
      </c>
      <c r="M18" s="37">
        <f t="shared" si="13"/>
        <v>1901039.8207669198</v>
      </c>
      <c r="N18" s="37">
        <f t="shared" si="13"/>
        <v>2060476.6221662848</v>
      </c>
      <c r="O18" s="37">
        <f t="shared" si="13"/>
        <v>2219099.9704972859</v>
      </c>
      <c r="P18" s="37">
        <f t="shared" si="13"/>
        <v>2372842.600418102</v>
      </c>
      <c r="Q18" s="37">
        <f t="shared" si="13"/>
        <v>2526585.230338919</v>
      </c>
      <c r="R18" s="37">
        <f t="shared" si="13"/>
        <v>2680327.860259735</v>
      </c>
      <c r="S18" s="37">
        <f t="shared" si="13"/>
        <v>2834070.4901805511</v>
      </c>
      <c r="T18" s="37">
        <f t="shared" si="13"/>
        <v>2986361.8340261495</v>
      </c>
      <c r="U18" s="37">
        <f t="shared" si="13"/>
        <v>3138954.5874901609</v>
      </c>
      <c r="V18" s="37">
        <f t="shared" si="13"/>
        <v>3291442.3419707473</v>
      </c>
      <c r="W18" s="37">
        <f t="shared" si="13"/>
        <v>3443825.4145498057</v>
      </c>
      <c r="X18" s="37">
        <f t="shared" si="13"/>
        <v>3596104.1214609011</v>
      </c>
      <c r="Y18" s="37">
        <f t="shared" si="13"/>
        <v>3747872.9005842716</v>
      </c>
      <c r="Z18" s="37">
        <f t="shared" si="13"/>
        <v>3905624.2798735872</v>
      </c>
      <c r="AA18" s="37">
        <f t="shared" si="13"/>
        <v>4063268.3102769312</v>
      </c>
      <c r="AB18" s="37">
        <f t="shared" si="13"/>
        <v>4220805.316436002</v>
      </c>
      <c r="AC18" s="37">
        <f t="shared" si="13"/>
        <v>4378235.6221233392</v>
      </c>
      <c r="AD18" s="37">
        <f t="shared" si="13"/>
        <v>4534749.194777214</v>
      </c>
      <c r="AE18" s="37">
        <f t="shared" si="13"/>
        <v>4580176.6871634722</v>
      </c>
      <c r="AF18" s="37">
        <f t="shared" si="13"/>
        <v>4622740.7846840471</v>
      </c>
      <c r="AG18" s="37">
        <f t="shared" ref="AG18:AL18" si="14">SUM(AG19:AG20)</f>
        <v>4665682.5772619564</v>
      </c>
      <c r="AH18" s="37">
        <f t="shared" si="14"/>
        <v>5512061.5165529307</v>
      </c>
      <c r="AI18" s="37">
        <f t="shared" si="14"/>
        <v>6371031.0659314422</v>
      </c>
      <c r="AJ18" s="37">
        <f t="shared" si="14"/>
        <v>7242714.1621057447</v>
      </c>
      <c r="AK18" s="37">
        <f t="shared" si="14"/>
        <v>8127232.4382658759</v>
      </c>
      <c r="AL18" s="37">
        <f t="shared" si="14"/>
        <v>9024706.2311562523</v>
      </c>
    </row>
    <row r="19" spans="2:38" x14ac:dyDescent="0.2">
      <c r="B19" s="281" t="s">
        <v>412</v>
      </c>
      <c r="C19" s="682">
        <f>D19+NPV(Parametre!$C$10,E19:AL19)</f>
        <v>32115285.228883658</v>
      </c>
      <c r="D19" s="682">
        <f>'12a Skleníkové plyny (voz.)'!D72</f>
        <v>0</v>
      </c>
      <c r="E19" s="682">
        <f>'12a Skleníkové plyny (voz.)'!E72</f>
        <v>0</v>
      </c>
      <c r="F19" s="682">
        <f>'12a Skleníkové plyny (voz.)'!F72</f>
        <v>0</v>
      </c>
      <c r="G19" s="682">
        <f>'12a Skleníkové plyny (voz.)'!G72</f>
        <v>934365.21695999987</v>
      </c>
      <c r="H19" s="682">
        <f>'12a Skleníkové plyny (voz.)'!H72</f>
        <v>1014242.70318</v>
      </c>
      <c r="I19" s="682">
        <f>'12a Skleníkové plyny (voz.)'!I72</f>
        <v>1094120.1893999998</v>
      </c>
      <c r="J19" s="682">
        <f>'12a Skleníkové plyny (voz.)'!J72</f>
        <v>1173997.6756200001</v>
      </c>
      <c r="K19" s="682">
        <f>'12a Skleníkové plyny (voz.)'!K72</f>
        <v>1305560.5940999999</v>
      </c>
      <c r="L19" s="682">
        <f>'12a Skleníkové plyny (voz.)'!L72</f>
        <v>1437123.5125799999</v>
      </c>
      <c r="M19" s="682">
        <f>'12a Skleníkové plyny (voz.)'!M72</f>
        <v>1568686.4310599999</v>
      </c>
      <c r="N19" s="682">
        <f>'12a Skleníkové plyny (voz.)'!N72</f>
        <v>1700249.3495399999</v>
      </c>
      <c r="O19" s="682">
        <f>'12a Skleníkové plyny (voz.)'!O72</f>
        <v>1831141.0286400001</v>
      </c>
      <c r="P19" s="682">
        <f>'12a Skleníkové plyny (voz.)'!P72</f>
        <v>1958005.2714599997</v>
      </c>
      <c r="Q19" s="682">
        <f>'12a Skleníkové plyny (voz.)'!Q72</f>
        <v>2084869.5142800002</v>
      </c>
      <c r="R19" s="682">
        <f>'12a Skleníkové plyny (voz.)'!R72</f>
        <v>2211733.7571</v>
      </c>
      <c r="S19" s="682">
        <f>'12a Skleníkové plyny (voz.)'!S72</f>
        <v>2338597.9999199994</v>
      </c>
      <c r="T19" s="682">
        <f>'12a Skleníkové plyny (voz.)'!T72</f>
        <v>2465126.6230499996</v>
      </c>
      <c r="U19" s="682">
        <f>'12a Skleníkové plyny (voz.)'!U72</f>
        <v>2591990.8658699999</v>
      </c>
      <c r="V19" s="682">
        <f>'12a Skleníkové plyny (voz.)'!V72</f>
        <v>2718855.1086900001</v>
      </c>
      <c r="W19" s="682">
        <f>'12a Skleníkové plyny (voz.)'!W72</f>
        <v>2845719.3515099999</v>
      </c>
      <c r="X19" s="682">
        <f>'12a Skleníkové plyny (voz.)'!X72</f>
        <v>2972583.5943299998</v>
      </c>
      <c r="Y19" s="682">
        <f>'12a Skleníkové plyny (voz.)'!Y72</f>
        <v>3099112.21746</v>
      </c>
      <c r="Z19" s="682">
        <f>'12a Skleníkové plyny (voz.)'!Z72</f>
        <v>3230675.1359399999</v>
      </c>
      <c r="AA19" s="682">
        <f>'12a Skleníkové plyny (voz.)'!AA72</f>
        <v>3362238.0544199995</v>
      </c>
      <c r="AB19" s="682">
        <f>'12a Skleníkové plyny (voz.)'!AB72</f>
        <v>3493800.9728999999</v>
      </c>
      <c r="AC19" s="682">
        <f>'12a Skleníkové plyny (voz.)'!AC72</f>
        <v>3625363.8913799999</v>
      </c>
      <c r="AD19" s="682">
        <f>'12a Skleníkové plyny (voz.)'!AD72</f>
        <v>3756255.5704800002</v>
      </c>
      <c r="AE19" s="682">
        <f>'12a Skleníkové plyny (voz.)'!AE72</f>
        <v>3795187.4545199997</v>
      </c>
      <c r="AF19" s="682">
        <f>'12a Skleníkové plyny (voz.)'!AF72</f>
        <v>3831770.00073</v>
      </c>
      <c r="AG19" s="682">
        <f>'12a Skleníkové plyny (voz.)'!AG72</f>
        <v>3868688.1666300003</v>
      </c>
      <c r="AH19" s="682">
        <f>'12a Skleníkové plyny (voz.)'!AH72</f>
        <v>3905941.9522199999</v>
      </c>
      <c r="AI19" s="682">
        <f>'12a Skleníkové plyny (voz.)'!AI72</f>
        <v>3943531.3574999999</v>
      </c>
      <c r="AJ19" s="682">
        <f>'12a Skleníkové plyny (voz.)'!AJ72</f>
        <v>3981456.3824699996</v>
      </c>
      <c r="AK19" s="682">
        <f>'12a Skleníkové plyny (voz.)'!AK72</f>
        <v>4019717.0271300003</v>
      </c>
      <c r="AL19" s="682">
        <f>'12a Skleníkové plyny (voz.)'!AL72</f>
        <v>4058313.2914800001</v>
      </c>
    </row>
    <row r="20" spans="2:38" x14ac:dyDescent="0.2">
      <c r="B20" s="281" t="s">
        <v>413</v>
      </c>
      <c r="C20" s="682">
        <f>D20+NPV(Parametre!$C$10,E20:AL20)</f>
        <v>9228699.4783020727</v>
      </c>
      <c r="D20" s="682">
        <f>'12b Skleníkové plyny (cesty)'!D35</f>
        <v>0</v>
      </c>
      <c r="E20" s="682">
        <f>'12b Skleníkové plyny (cesty)'!E35</f>
        <v>0</v>
      </c>
      <c r="F20" s="682">
        <f>'12b Skleníkové plyny (cesty)'!F35</f>
        <v>0</v>
      </c>
      <c r="G20" s="682">
        <f>'12b Skleníkové plyny (cesty)'!G35</f>
        <v>197961.45420283801</v>
      </c>
      <c r="H20" s="682">
        <f>'12b Skleníkové plyny (cesty)'!H35</f>
        <v>214884.88311816682</v>
      </c>
      <c r="I20" s="682">
        <f>'12b Skleníkové plyny (cesty)'!I35</f>
        <v>231808.31203349566</v>
      </c>
      <c r="J20" s="682">
        <f>'12b Skleníkové plyny (cesty)'!J35</f>
        <v>248731.7409488245</v>
      </c>
      <c r="K20" s="682">
        <f>'12b Skleníkové plyny (cesty)'!K35</f>
        <v>276605.62386818964</v>
      </c>
      <c r="L20" s="682">
        <f>'12b Skleníkové plyny (cesty)'!L35</f>
        <v>304479.50678755477</v>
      </c>
      <c r="M20" s="682">
        <f>'12b Skleníkové plyny (cesty)'!M35</f>
        <v>332353.38970691984</v>
      </c>
      <c r="N20" s="682">
        <f>'12b Skleníkové plyny (cesty)'!N35</f>
        <v>360227.27262628503</v>
      </c>
      <c r="O20" s="682">
        <f>'12b Skleníkové plyny (cesty)'!O35</f>
        <v>387958.94185728597</v>
      </c>
      <c r="P20" s="682">
        <f>'12b Skleníkové plyny (cesty)'!P35</f>
        <v>414837.32895810233</v>
      </c>
      <c r="Q20" s="682">
        <f>'12b Skleníkové plyny (cesty)'!Q35</f>
        <v>441715.7160589188</v>
      </c>
      <c r="R20" s="682">
        <f>'12b Skleníkové plyny (cesty)'!R35</f>
        <v>468594.1031597351</v>
      </c>
      <c r="S20" s="682">
        <f>'12b Skleníkové plyny (cesty)'!S35</f>
        <v>495472.49026055145</v>
      </c>
      <c r="T20" s="682">
        <f>'12b Skleníkové plyny (cesty)'!T35</f>
        <v>521235.21097615</v>
      </c>
      <c r="U20" s="682">
        <f>'12b Skleníkové plyny (cesty)'!U35</f>
        <v>546963.72162016097</v>
      </c>
      <c r="V20" s="682">
        <f>'12b Skleníkové plyny (cesty)'!V35</f>
        <v>572587.23328074708</v>
      </c>
      <c r="W20" s="682">
        <f>'12b Skleníkové plyny (cesty)'!W35</f>
        <v>598106.06303980574</v>
      </c>
      <c r="X20" s="682">
        <f>'12b Skleníkové plyny (cesty)'!X35</f>
        <v>623520.52713090146</v>
      </c>
      <c r="Y20" s="682">
        <f>'12b Skleníkové plyny (cesty)'!Y35</f>
        <v>648760.6831242718</v>
      </c>
      <c r="Z20" s="682">
        <f>'12b Skleníkové plyny (cesty)'!Z35</f>
        <v>674949.14393358713</v>
      </c>
      <c r="AA20" s="682">
        <f>'12b Skleníkové plyny (cesty)'!AA35</f>
        <v>701030.25585693168</v>
      </c>
      <c r="AB20" s="682">
        <f>'12b Skleníkové plyny (cesty)'!AB35</f>
        <v>727004.34353600233</v>
      </c>
      <c r="AC20" s="682">
        <f>'12b Skleníkové plyny (cesty)'!AC35</f>
        <v>752871.7307433394</v>
      </c>
      <c r="AD20" s="682">
        <f>'12b Skleníkové plyny (cesty)'!AD35</f>
        <v>778493.62429721339</v>
      </c>
      <c r="AE20" s="682">
        <f>'12b Skleníkové plyny (cesty)'!AE35</f>
        <v>784989.23264347238</v>
      </c>
      <c r="AF20" s="682">
        <f>'12b Skleníkové plyny (cesty)'!AF35</f>
        <v>790970.78395404713</v>
      </c>
      <c r="AG20" s="682">
        <f>'12b Skleníkové plyny (cesty)'!AG35</f>
        <v>796994.4106319563</v>
      </c>
      <c r="AH20" s="682">
        <f>'12b Skleníkové plyny (cesty)'!AH35</f>
        <v>1606119.5643329311</v>
      </c>
      <c r="AI20" s="682">
        <f>'12b Skleníkové plyny (cesty)'!AI35</f>
        <v>2427499.7084314423</v>
      </c>
      <c r="AJ20" s="682">
        <f>'12b Skleníkové plyny (cesty)'!AJ35</f>
        <v>3261257.7796357451</v>
      </c>
      <c r="AK20" s="682">
        <f>'12b Skleníkové plyny (cesty)'!AK35</f>
        <v>4107515.4111358756</v>
      </c>
      <c r="AL20" s="682">
        <f>'12b Skleníkové plyny (cesty)'!AL35</f>
        <v>4966392.9396762531</v>
      </c>
    </row>
    <row r="21" spans="2:38" x14ac:dyDescent="0.2">
      <c r="B21" s="260" t="s">
        <v>204</v>
      </c>
      <c r="C21" s="37">
        <f>D21+NPV(Parametre!$C$10,E21:AL21)</f>
        <v>-91429.196169711082</v>
      </c>
      <c r="D21" s="37">
        <f>SUM(D22:D23)</f>
        <v>0</v>
      </c>
      <c r="E21" s="37">
        <f t="shared" ref="E21:AF21" si="15">SUM(E22:E23)</f>
        <v>0</v>
      </c>
      <c r="F21" s="37">
        <f t="shared" si="15"/>
        <v>0</v>
      </c>
      <c r="G21" s="37">
        <f t="shared" si="15"/>
        <v>-5557.573964744668</v>
      </c>
      <c r="H21" s="37">
        <f t="shared" si="15"/>
        <v>-5629.5410782557501</v>
      </c>
      <c r="I21" s="37">
        <f t="shared" si="15"/>
        <v>-5708.785165562912</v>
      </c>
      <c r="J21" s="37">
        <f t="shared" si="15"/>
        <v>-5777.9124856339977</v>
      </c>
      <c r="K21" s="37">
        <f t="shared" si="15"/>
        <v>-5848.4597024250616</v>
      </c>
      <c r="L21" s="37">
        <f t="shared" si="15"/>
        <v>-5914.5697388600856</v>
      </c>
      <c r="M21" s="37">
        <f t="shared" si="15"/>
        <v>-5982.0996720150897</v>
      </c>
      <c r="N21" s="37">
        <f t="shared" si="15"/>
        <v>-6051.2269920861736</v>
      </c>
      <c r="O21" s="37">
        <f t="shared" si="15"/>
        <v>-6120.3543121572366</v>
      </c>
      <c r="P21" s="37">
        <f t="shared" si="15"/>
        <v>-6190.9015289483186</v>
      </c>
      <c r="Q21" s="37">
        <f t="shared" si="15"/>
        <v>-6262.8686424593825</v>
      </c>
      <c r="R21" s="37">
        <f t="shared" si="15"/>
        <v>-6334.8357559704864</v>
      </c>
      <c r="S21" s="37">
        <f t="shared" si="15"/>
        <v>-6408.2227662015703</v>
      </c>
      <c r="T21" s="37">
        <f t="shared" si="15"/>
        <v>-6485.6519547799126</v>
      </c>
      <c r="U21" s="37">
        <f t="shared" si="15"/>
        <v>-6564.566380439016</v>
      </c>
      <c r="V21" s="37">
        <f t="shared" si="15"/>
        <v>-6632.0092813078045</v>
      </c>
      <c r="W21" s="37">
        <f t="shared" si="15"/>
        <v>-6699.5171206907053</v>
      </c>
      <c r="X21" s="37">
        <f t="shared" si="15"/>
        <v>-6768.5095951983667</v>
      </c>
      <c r="Y21" s="37">
        <f t="shared" si="15"/>
        <v>-6838.9865052617824</v>
      </c>
      <c r="Z21" s="37">
        <f t="shared" si="15"/>
        <v>-6909.7052453275883</v>
      </c>
      <c r="AA21" s="37">
        <f t="shared" si="15"/>
        <v>-6981.9080234281382</v>
      </c>
      <c r="AB21" s="37">
        <f t="shared" si="15"/>
        <v>-7054.1747448885026</v>
      </c>
      <c r="AC21" s="37">
        <f t="shared" si="15"/>
        <v>-7127.9251090089438</v>
      </c>
      <c r="AD21" s="37">
        <f t="shared" si="15"/>
        <v>-7203.1589189037804</v>
      </c>
      <c r="AE21" s="37">
        <f t="shared" si="15"/>
        <v>-7278.4560814996394</v>
      </c>
      <c r="AF21" s="37">
        <f t="shared" si="15"/>
        <v>-7347.9593238985353</v>
      </c>
      <c r="AG21" s="37">
        <f t="shared" ref="AG21:AL21" si="16">SUM(AG22:AG23)</f>
        <v>-7418.9454246044106</v>
      </c>
      <c r="AH21" s="37">
        <f t="shared" si="16"/>
        <v>-7490.1717823297095</v>
      </c>
      <c r="AI21" s="37">
        <f t="shared" si="16"/>
        <v>-7562.8806093620606</v>
      </c>
      <c r="AJ21" s="37">
        <f t="shared" si="16"/>
        <v>-7635.6518152707949</v>
      </c>
      <c r="AK21" s="37">
        <f t="shared" si="16"/>
        <v>-7709.9051035900638</v>
      </c>
      <c r="AL21" s="37">
        <f t="shared" si="16"/>
        <v>-7785.640281657139</v>
      </c>
    </row>
    <row r="22" spans="2:38" x14ac:dyDescent="0.2">
      <c r="B22" s="281" t="s">
        <v>412</v>
      </c>
      <c r="C22" s="682">
        <f>D22+NPV(Parametre!$C$10,E22:AL22)</f>
        <v>-109694.81664872121</v>
      </c>
      <c r="D22" s="682">
        <f>'13a Hluk (voz.)'!D35</f>
        <v>0</v>
      </c>
      <c r="E22" s="682">
        <f>'13a Hluk (voz.)'!E35</f>
        <v>0</v>
      </c>
      <c r="F22" s="682">
        <f>'13a Hluk (voz.)'!F35</f>
        <v>0</v>
      </c>
      <c r="G22" s="682">
        <f>'13a Hluk (voz.)'!G35</f>
        <v>-6639.0841447639204</v>
      </c>
      <c r="H22" s="682">
        <f>'13a Hluk (voz.)'!H35</f>
        <v>-6728.7151531686268</v>
      </c>
      <c r="I22" s="682">
        <f>'13a Hluk (voz.)'!I35</f>
        <v>-6825.6231353694111</v>
      </c>
      <c r="J22" s="682">
        <f>'13a Hluk (voz.)'!J35</f>
        <v>-6912.4143503341184</v>
      </c>
      <c r="K22" s="682">
        <f>'13a Hluk (voz.)'!K35</f>
        <v>-7000.6254620188238</v>
      </c>
      <c r="L22" s="682">
        <f>'13a Hluk (voz.)'!L35</f>
        <v>-7084.3993933474503</v>
      </c>
      <c r="M22" s="682">
        <f>'13a Hluk (voz.)'!M35</f>
        <v>-7169.5932213960778</v>
      </c>
      <c r="N22" s="682">
        <f>'13a Hluk (voz.)'!N35</f>
        <v>-7256.3844363607841</v>
      </c>
      <c r="O22" s="682">
        <f>'13a Hluk (voz.)'!O35</f>
        <v>-7343.1756513254895</v>
      </c>
      <c r="P22" s="682">
        <f>'13a Hluk (voz.)'!P35</f>
        <v>-7431.386763010195</v>
      </c>
      <c r="Q22" s="682">
        <f>'13a Hluk (voz.)'!Q35</f>
        <v>-7521.0177714149013</v>
      </c>
      <c r="R22" s="682">
        <f>'13a Hluk (voz.)'!R35</f>
        <v>-7610.6487798196067</v>
      </c>
      <c r="S22" s="682">
        <f>'13a Hluk (voz.)'!S35</f>
        <v>-7701.699684944314</v>
      </c>
      <c r="T22" s="682">
        <f>'13a Hluk (voz.)'!T35</f>
        <v>-7794.1704867890194</v>
      </c>
      <c r="U22" s="682">
        <f>'13a Hluk (voz.)'!U35</f>
        <v>-7888.0611853537248</v>
      </c>
      <c r="V22" s="682">
        <f>'13a Hluk (voz.)'!V35</f>
        <v>-7970.4152199623531</v>
      </c>
      <c r="W22" s="682">
        <f>'13a Hluk (voz.)'!W35</f>
        <v>-8052.7692545709797</v>
      </c>
      <c r="X22" s="682">
        <f>'13a Hluk (voz.)'!X35</f>
        <v>-8136.5431858996062</v>
      </c>
      <c r="Y22" s="682">
        <f>'13a Hluk (voz.)'!Y35</f>
        <v>-8221.7370139482355</v>
      </c>
      <c r="Z22" s="682">
        <f>'13a Hluk (voz.)'!Z35</f>
        <v>-8307.10833219294</v>
      </c>
      <c r="AA22" s="682">
        <f>'13a Hluk (voz.)'!AA35</f>
        <v>-8393.8995471576472</v>
      </c>
      <c r="AB22" s="682">
        <f>'13a Hluk (voz.)'!AB35</f>
        <v>-8480.6907621223527</v>
      </c>
      <c r="AC22" s="682">
        <f>'13a Hluk (voz.)'!AC35</f>
        <v>-8568.9018738070572</v>
      </c>
      <c r="AD22" s="682">
        <f>'13a Hluk (voz.)'!AD35</f>
        <v>-8658.5328822117626</v>
      </c>
      <c r="AE22" s="682">
        <f>'13a Hluk (voz.)'!AE35</f>
        <v>-8748.1638906164681</v>
      </c>
      <c r="AF22" s="682">
        <f>'13a Hluk (voz.)'!AF35</f>
        <v>-8831.9378219450973</v>
      </c>
      <c r="AG22" s="682">
        <f>'13a Hluk (voz.)'!AG35</f>
        <v>-8917.1316499937238</v>
      </c>
      <c r="AH22" s="682">
        <f>'13a Hluk (voz.)'!AH35</f>
        <v>-9002.5029682384302</v>
      </c>
      <c r="AI22" s="682">
        <f>'13a Hluk (voz.)'!AI35</f>
        <v>-9089.2941832031374</v>
      </c>
      <c r="AJ22" s="682">
        <f>'13a Hluk (voz.)'!AJ35</f>
        <v>-9176.0853981678429</v>
      </c>
      <c r="AK22" s="682">
        <f>'13a Hluk (voz.)'!AK35</f>
        <v>-9264.2965098525492</v>
      </c>
      <c r="AL22" s="682">
        <f>'13a Hluk (voz.)'!AL35</f>
        <v>-9353.9275182572546</v>
      </c>
    </row>
    <row r="23" spans="2:38" x14ac:dyDescent="0.2">
      <c r="B23" s="281" t="s">
        <v>413</v>
      </c>
      <c r="C23" s="682">
        <f>D23+NPV(Parametre!$C$10,E23:AL23)</f>
        <v>18265.620479010082</v>
      </c>
      <c r="D23" s="682">
        <f>'13b Hluk (cesty)'!D47</f>
        <v>0</v>
      </c>
      <c r="E23" s="682">
        <f>'13b Hluk (cesty)'!E47</f>
        <v>0</v>
      </c>
      <c r="F23" s="682">
        <f>'13b Hluk (cesty)'!F47</f>
        <v>0</v>
      </c>
      <c r="G23" s="682">
        <f>'13b Hluk (cesty)'!G47</f>
        <v>1081.5101800192529</v>
      </c>
      <c r="H23" s="682">
        <f>'13b Hluk (cesty)'!H47</f>
        <v>1099.1740749128767</v>
      </c>
      <c r="I23" s="682">
        <f>'13b Hluk (cesty)'!I47</f>
        <v>1116.8379698064991</v>
      </c>
      <c r="J23" s="682">
        <f>'13b Hluk (cesty)'!J47</f>
        <v>1134.5018647001207</v>
      </c>
      <c r="K23" s="682">
        <f>'13b Hluk (cesty)'!K47</f>
        <v>1152.1657595937625</v>
      </c>
      <c r="L23" s="682">
        <f>'13b Hluk (cesty)'!L47</f>
        <v>1169.8296544873647</v>
      </c>
      <c r="M23" s="682">
        <f>'13b Hluk (cesty)'!M47</f>
        <v>1187.4935493809878</v>
      </c>
      <c r="N23" s="682">
        <f>'13b Hluk (cesty)'!N47</f>
        <v>1205.1574442746103</v>
      </c>
      <c r="O23" s="682">
        <f>'13b Hluk (cesty)'!O47</f>
        <v>1222.8213391682534</v>
      </c>
      <c r="P23" s="682">
        <f>'13b Hluk (cesty)'!P47</f>
        <v>1240.4852340618761</v>
      </c>
      <c r="Q23" s="682">
        <f>'13b Hluk (cesty)'!Q47</f>
        <v>1258.149128955519</v>
      </c>
      <c r="R23" s="682">
        <f>'13b Hluk (cesty)'!R47</f>
        <v>1275.8130238491206</v>
      </c>
      <c r="S23" s="682">
        <f>'13b Hluk (cesty)'!S47</f>
        <v>1293.4769187427441</v>
      </c>
      <c r="T23" s="682">
        <f>'13b Hluk (cesty)'!T47</f>
        <v>1308.518532009107</v>
      </c>
      <c r="U23" s="682">
        <f>'13b Hluk (cesty)'!U47</f>
        <v>1323.494804914709</v>
      </c>
      <c r="V23" s="682">
        <f>'13b Hluk (cesty)'!V47</f>
        <v>1338.4059386545489</v>
      </c>
      <c r="W23" s="682">
        <f>'13b Hluk (cesty)'!W47</f>
        <v>1353.2521338802744</v>
      </c>
      <c r="X23" s="682">
        <f>'13b Hluk (cesty)'!X47</f>
        <v>1368.0335907012397</v>
      </c>
      <c r="Y23" s="682">
        <f>'13b Hluk (cesty)'!Y47</f>
        <v>1382.7505086864533</v>
      </c>
      <c r="Z23" s="682">
        <f>'13b Hluk (cesty)'!Z47</f>
        <v>1397.4030868653513</v>
      </c>
      <c r="AA23" s="682">
        <f>'13b Hluk (cesty)'!AA47</f>
        <v>1411.9915237295088</v>
      </c>
      <c r="AB23" s="682">
        <f>'13b Hluk (cesty)'!AB47</f>
        <v>1426.5160172338501</v>
      </c>
      <c r="AC23" s="682">
        <f>'13b Hluk (cesty)'!AC47</f>
        <v>1440.9767647981137</v>
      </c>
      <c r="AD23" s="682">
        <f>'13b Hluk (cesty)'!AD47</f>
        <v>1455.3739633079824</v>
      </c>
      <c r="AE23" s="682">
        <f>'13b Hluk (cesty)'!AE47</f>
        <v>1469.7078091168285</v>
      </c>
      <c r="AF23" s="682">
        <f>'13b Hluk (cesty)'!AF47</f>
        <v>1483.9784980465622</v>
      </c>
      <c r="AG23" s="682">
        <f>'13b Hluk (cesty)'!AG47</f>
        <v>1498.186225389313</v>
      </c>
      <c r="AH23" s="682">
        <f>'13b Hluk (cesty)'!AH47</f>
        <v>1512.3311859087207</v>
      </c>
      <c r="AI23" s="682">
        <f>'13b Hluk (cesty)'!AI47</f>
        <v>1526.4135738410769</v>
      </c>
      <c r="AJ23" s="682">
        <f>'13b Hluk (cesty)'!AJ47</f>
        <v>1540.4335828970477</v>
      </c>
      <c r="AK23" s="682">
        <f>'13b Hluk (cesty)'!AK47</f>
        <v>1554.3914062624851</v>
      </c>
      <c r="AL23" s="682">
        <f>'13b Hluk (cesty)'!AL47</f>
        <v>1568.2872366001161</v>
      </c>
    </row>
    <row r="24" spans="2:38" x14ac:dyDescent="0.2">
      <c r="B24" s="31" t="s">
        <v>16</v>
      </c>
      <c r="C24" s="37">
        <f>D24+NPV(Parametre!$C$10,E24:AL24)</f>
        <v>12348696.560961992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590">
        <f>IFERROR('02 Zostatková hodnota'!I9,0)</f>
        <v>64872000</v>
      </c>
    </row>
    <row r="25" spans="2:38" x14ac:dyDescent="0.2">
      <c r="B25" s="167" t="s">
        <v>40</v>
      </c>
      <c r="C25" s="164">
        <f>D25+NPV(Parametre!$C$10,E25:AL25)</f>
        <v>5721596.9931918243</v>
      </c>
      <c r="D25" s="164">
        <f>-D5-D6+D7+D11+D14+D15+D18+D21+D24</f>
        <v>0</v>
      </c>
      <c r="E25" s="164">
        <f t="shared" ref="E25:AF25" si="17">-E5-E6+E7+E11+E14+E15+E18+E21+E24</f>
        <v>-18360000</v>
      </c>
      <c r="F25" s="164">
        <f t="shared" si="17"/>
        <v>-73440000</v>
      </c>
      <c r="G25" s="164">
        <f t="shared" si="17"/>
        <v>3363422.5336942002</v>
      </c>
      <c r="H25" s="164">
        <f t="shared" si="17"/>
        <v>3483903.4290841855</v>
      </c>
      <c r="I25" s="164">
        <f t="shared" si="17"/>
        <v>3603743.86732755</v>
      </c>
      <c r="J25" s="164">
        <f t="shared" si="17"/>
        <v>3722620.3426784109</v>
      </c>
      <c r="K25" s="164">
        <f t="shared" si="17"/>
        <v>3903331.3766279919</v>
      </c>
      <c r="L25" s="164">
        <f t="shared" si="17"/>
        <v>4085596.4330879324</v>
      </c>
      <c r="M25" s="164">
        <f t="shared" si="17"/>
        <v>6558289.473076879</v>
      </c>
      <c r="N25" s="164">
        <f t="shared" si="17"/>
        <v>6736539.079728202</v>
      </c>
      <c r="O25" s="164">
        <f t="shared" si="17"/>
        <v>6914240.7597052762</v>
      </c>
      <c r="P25" s="164">
        <f t="shared" si="17"/>
        <v>7087314.3345700055</v>
      </c>
      <c r="Q25" s="164">
        <f t="shared" si="17"/>
        <v>4965706.6518326374</v>
      </c>
      <c r="R25" s="164">
        <f t="shared" si="17"/>
        <v>5139408.0080685876</v>
      </c>
      <c r="S25" s="164">
        <f t="shared" si="17"/>
        <v>5313412.3915793765</v>
      </c>
      <c r="T25" s="164">
        <f t="shared" si="17"/>
        <v>5479636.7537177475</v>
      </c>
      <c r="U25" s="164">
        <f t="shared" si="17"/>
        <v>5646425.1845059525</v>
      </c>
      <c r="V25" s="164">
        <f t="shared" si="17"/>
        <v>5811585.4056968</v>
      </c>
      <c r="W25" s="164">
        <f t="shared" si="17"/>
        <v>11715355.547117304</v>
      </c>
      <c r="X25" s="164">
        <f t="shared" si="17"/>
        <v>11881944.786505533</v>
      </c>
      <c r="Y25" s="164">
        <f t="shared" si="17"/>
        <v>7229004.8153508483</v>
      </c>
      <c r="Z25" s="164">
        <f t="shared" si="17"/>
        <v>7402042.4012878751</v>
      </c>
      <c r="AA25" s="164">
        <f t="shared" si="17"/>
        <v>1838324.0543791475</v>
      </c>
      <c r="AB25" s="164">
        <f t="shared" si="17"/>
        <v>2012587.816899121</v>
      </c>
      <c r="AC25" s="164">
        <f t="shared" si="17"/>
        <v>7006849.0923591712</v>
      </c>
      <c r="AD25" s="164">
        <f t="shared" si="17"/>
        <v>7183566.244712444</v>
      </c>
      <c r="AE25" s="164">
        <f t="shared" si="17"/>
        <v>7249924.0180754671</v>
      </c>
      <c r="AF25" s="164">
        <f t="shared" si="17"/>
        <v>7314013.8923681239</v>
      </c>
      <c r="AG25" s="164">
        <f t="shared" ref="AG25:AL25" si="18">-AG5-AG6+AG7+AG11+AG14+AG15+AG18+AG21+AG24</f>
        <v>9674572.3524746895</v>
      </c>
      <c r="AH25" s="164">
        <f t="shared" si="18"/>
        <v>11345373.589856045</v>
      </c>
      <c r="AI25" s="164">
        <f t="shared" si="18"/>
        <v>-511507.77274229901</v>
      </c>
      <c r="AJ25" s="164">
        <f t="shared" si="18"/>
        <v>1184958.1725565663</v>
      </c>
      <c r="AK25" s="164">
        <f t="shared" si="18"/>
        <v>599431.17222626624</v>
      </c>
      <c r="AL25" s="164">
        <f t="shared" si="18"/>
        <v>67194189.820373967</v>
      </c>
    </row>
    <row r="27" spans="2:38" x14ac:dyDescent="0.2">
      <c r="B27" s="39" t="s">
        <v>41</v>
      </c>
      <c r="C27" s="168">
        <f>-C5-C6+C7+C11+C14+C15+C18+C21+C24</f>
        <v>5721596.9931918243</v>
      </c>
      <c r="D27" s="30" t="s">
        <v>0</v>
      </c>
    </row>
    <row r="28" spans="2:38" x14ac:dyDescent="0.2">
      <c r="B28" s="39" t="s">
        <v>42</v>
      </c>
      <c r="C28" s="169">
        <f>IRR(D25:AL25,Parametre!C10)</f>
        <v>5.4333173418060765E-2</v>
      </c>
    </row>
    <row r="29" spans="2:38" x14ac:dyDescent="0.2">
      <c r="B29" s="283" t="s">
        <v>1</v>
      </c>
      <c r="C29" s="284">
        <f>IF((C5+C6)&gt;0,(C7+C11+C15+C14+C18+C21+C24)/(C5+C6),"nerelevantné")</f>
        <v>1.0575682464725509</v>
      </c>
    </row>
    <row r="30" spans="2:38" x14ac:dyDescent="0.2">
      <c r="B30" s="283" t="s">
        <v>415</v>
      </c>
      <c r="C30" s="284" t="str">
        <f>IF(C6&lt;0,(C7+C11+C14+C15+C18+C21+C24-C6)/C5,"nerelevantné")</f>
        <v>nerelevantné</v>
      </c>
    </row>
    <row r="36" spans="3:3" x14ac:dyDescent="0.2">
      <c r="C36" s="678"/>
    </row>
  </sheetData>
  <sheetProtection algorithmName="SHA-512" hashValue="Rb122ufZfOroKbElUfunTOVXeKE32pCu/LMqgMSViNZdLewAX0sZ4SBzA0GENcT/DcQa69DQ2T7gpfVhOtscKw==" saltValue="yWesy/icg2xasPQQDy9B1w==" spinCount="100000" sheet="1" objects="1" scenarios="1"/>
  <pageMargins left="0.19687499999999999" right="0.19687499999999999" top="1" bottom="1" header="0.5" footer="0.5"/>
  <pageSetup scale="75" orientation="landscape" r:id="rId1"/>
  <headerFooter alignWithMargins="0">
    <oddHeader>&amp;LPríloha 7: Štandardné tabuľky - Cesty
&amp;"Arial,Tučné"&amp;12 11 Ekonomická analýza</oddHeader>
    <oddFooter>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2:L69"/>
  <sheetViews>
    <sheetView zoomScale="90" zoomScaleNormal="90" workbookViewId="0"/>
  </sheetViews>
  <sheetFormatPr defaultColWidth="9.140625" defaultRowHeight="11.25" x14ac:dyDescent="0.2"/>
  <cols>
    <col min="1" max="1" width="2.7109375" style="2" customWidth="1"/>
    <col min="2" max="2" width="42.28515625" style="2" customWidth="1"/>
    <col min="3" max="3" width="13.5703125" style="2" bestFit="1" customWidth="1"/>
    <col min="4" max="4" width="12.7109375" style="2" bestFit="1" customWidth="1"/>
    <col min="5" max="6" width="13.5703125" style="2" bestFit="1" customWidth="1"/>
    <col min="7" max="10" width="8.140625" style="2" customWidth="1"/>
    <col min="11" max="16384" width="9.140625" style="2"/>
  </cols>
  <sheetData>
    <row r="2" spans="2:12" x14ac:dyDescent="0.2">
      <c r="B2" s="3" t="s">
        <v>361</v>
      </c>
      <c r="C2" s="3"/>
      <c r="D2" s="3" t="s">
        <v>10</v>
      </c>
      <c r="E2" s="3"/>
      <c r="F2" s="3"/>
      <c r="G2" s="3"/>
      <c r="H2" s="3"/>
      <c r="I2" s="3"/>
      <c r="J2" s="3"/>
    </row>
    <row r="3" spans="2:12" x14ac:dyDescent="0.2">
      <c r="B3" s="4"/>
      <c r="C3" s="4"/>
      <c r="D3" s="5">
        <v>1</v>
      </c>
      <c r="E3" s="5">
        <v>2</v>
      </c>
      <c r="F3" s="5">
        <v>3</v>
      </c>
      <c r="G3" s="5">
        <v>4</v>
      </c>
      <c r="H3" s="5">
        <v>5</v>
      </c>
      <c r="I3" s="5">
        <v>6</v>
      </c>
      <c r="J3" s="5"/>
    </row>
    <row r="4" spans="2:12" x14ac:dyDescent="0.2">
      <c r="B4" s="6" t="s">
        <v>166</v>
      </c>
      <c r="C4" s="6" t="s">
        <v>9</v>
      </c>
      <c r="D4" s="7">
        <f>Parametre!C13</f>
        <v>2025</v>
      </c>
      <c r="E4" s="7">
        <f>$D$4+D3</f>
        <v>2026</v>
      </c>
      <c r="F4" s="7">
        <f>$D$4+E3</f>
        <v>2027</v>
      </c>
      <c r="G4" s="7">
        <f>$D$4+F3</f>
        <v>2028</v>
      </c>
      <c r="H4" s="7">
        <f>$D$4+G3</f>
        <v>2029</v>
      </c>
      <c r="I4" s="7">
        <f>$D$4+H3</f>
        <v>2030</v>
      </c>
      <c r="J4" s="7" t="s">
        <v>360</v>
      </c>
    </row>
    <row r="5" spans="2:12" x14ac:dyDescent="0.2">
      <c r="B5" s="3" t="s">
        <v>267</v>
      </c>
      <c r="C5" s="8">
        <f>SUM(D5:J5)</f>
        <v>102000000</v>
      </c>
      <c r="D5" s="8">
        <f>SUM(D6:D10)</f>
        <v>0</v>
      </c>
      <c r="E5" s="8">
        <f t="shared" ref="E5:J5" si="0">SUM(E6:E10)</f>
        <v>20400000</v>
      </c>
      <c r="F5" s="8">
        <f t="shared" si="0"/>
        <v>81600000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 t="shared" si="0"/>
        <v>0</v>
      </c>
    </row>
    <row r="6" spans="2:12" x14ac:dyDescent="0.2">
      <c r="B6" s="108" t="s">
        <v>459</v>
      </c>
      <c r="C6" s="109">
        <f t="shared" ref="C6:C17" si="1">SUM(D6:J6)</f>
        <v>20400000</v>
      </c>
      <c r="D6" s="110"/>
      <c r="E6" s="110">
        <f>$D$54*20%*'02 Zostatková hodnota'!D14</f>
        <v>4080000</v>
      </c>
      <c r="F6" s="110">
        <f>$D$54*80%*'02 Zostatková hodnota'!D14</f>
        <v>16320000</v>
      </c>
      <c r="G6" s="110"/>
      <c r="H6" s="110"/>
      <c r="I6" s="110"/>
      <c r="J6" s="110"/>
      <c r="L6" s="452"/>
    </row>
    <row r="7" spans="2:12" x14ac:dyDescent="0.2">
      <c r="B7" s="108" t="s">
        <v>460</v>
      </c>
      <c r="C7" s="109">
        <f t="shared" si="1"/>
        <v>5100000</v>
      </c>
      <c r="D7" s="110"/>
      <c r="E7" s="110">
        <f>$D$54*20%*'02 Zostatková hodnota'!D15</f>
        <v>1020000</v>
      </c>
      <c r="F7" s="110">
        <f>$D$54*80%*'02 Zostatková hodnota'!D15</f>
        <v>4080000</v>
      </c>
      <c r="G7" s="110"/>
      <c r="H7" s="110"/>
      <c r="I7" s="110"/>
      <c r="J7" s="110"/>
      <c r="L7" s="452"/>
    </row>
    <row r="8" spans="2:12" x14ac:dyDescent="0.2">
      <c r="B8" s="108" t="s">
        <v>461</v>
      </c>
      <c r="C8" s="109">
        <f>SUM(D8:J8)</f>
        <v>27540000</v>
      </c>
      <c r="D8" s="110"/>
      <c r="E8" s="110">
        <f>$D$54*20%*'02 Zostatková hodnota'!D16</f>
        <v>5508000</v>
      </c>
      <c r="F8" s="110">
        <f>$D$54*80%*'02 Zostatková hodnota'!D16</f>
        <v>22032000</v>
      </c>
      <c r="G8" s="110"/>
      <c r="H8" s="110"/>
      <c r="I8" s="110"/>
      <c r="J8" s="110"/>
      <c r="L8" s="452"/>
    </row>
    <row r="9" spans="2:12" x14ac:dyDescent="0.2">
      <c r="B9" s="108" t="s">
        <v>462</v>
      </c>
      <c r="C9" s="109">
        <f t="shared" ref="C9:C10" si="2">SUM(D9:J9)</f>
        <v>27540000</v>
      </c>
      <c r="D9" s="110"/>
      <c r="E9" s="110">
        <f>$D$54*20%*'02 Zostatková hodnota'!D17</f>
        <v>5508000</v>
      </c>
      <c r="F9" s="110">
        <f>$D$54*80%*'02 Zostatková hodnota'!D17</f>
        <v>22032000</v>
      </c>
      <c r="G9" s="110"/>
      <c r="H9" s="110"/>
      <c r="I9" s="110"/>
      <c r="J9" s="110"/>
      <c r="L9" s="452"/>
    </row>
    <row r="10" spans="2:12" x14ac:dyDescent="0.2">
      <c r="B10" s="108" t="s">
        <v>463</v>
      </c>
      <c r="C10" s="109">
        <f t="shared" si="2"/>
        <v>21420000</v>
      </c>
      <c r="D10" s="110"/>
      <c r="E10" s="110">
        <f>$D$54*20%*'02 Zostatková hodnota'!D18</f>
        <v>4284000</v>
      </c>
      <c r="F10" s="110">
        <f>$D$54*80%*'02 Zostatková hodnota'!D18</f>
        <v>17136000</v>
      </c>
      <c r="G10" s="110"/>
      <c r="H10" s="110"/>
      <c r="I10" s="110"/>
      <c r="J10" s="110"/>
      <c r="L10" s="452"/>
    </row>
    <row r="11" spans="2:12" x14ac:dyDescent="0.2">
      <c r="B11" s="3" t="s">
        <v>48</v>
      </c>
      <c r="C11" s="8">
        <f t="shared" si="1"/>
        <v>0</v>
      </c>
      <c r="D11" s="9"/>
      <c r="E11" s="9"/>
      <c r="F11" s="9"/>
      <c r="G11" s="9"/>
      <c r="H11" s="9"/>
      <c r="I11" s="9"/>
      <c r="J11" s="9"/>
    </row>
    <row r="12" spans="2:12" s="12" customFormat="1" x14ac:dyDescent="0.2">
      <c r="B12" s="10" t="s">
        <v>186</v>
      </c>
      <c r="C12" s="11">
        <f t="shared" si="1"/>
        <v>102000000</v>
      </c>
      <c r="D12" s="11">
        <f t="shared" ref="D12:J12" si="3">SUM(D5:D5,D11:D11)</f>
        <v>0</v>
      </c>
      <c r="E12" s="11">
        <f t="shared" si="3"/>
        <v>20400000</v>
      </c>
      <c r="F12" s="11">
        <f t="shared" si="3"/>
        <v>81600000</v>
      </c>
      <c r="G12" s="11">
        <f t="shared" si="3"/>
        <v>0</v>
      </c>
      <c r="H12" s="11">
        <f t="shared" si="3"/>
        <v>0</v>
      </c>
      <c r="I12" s="11">
        <f t="shared" si="3"/>
        <v>0</v>
      </c>
      <c r="J12" s="11">
        <f t="shared" si="3"/>
        <v>0</v>
      </c>
    </row>
    <row r="13" spans="2:12" x14ac:dyDescent="0.2">
      <c r="B13" s="3" t="s">
        <v>44</v>
      </c>
      <c r="C13" s="8">
        <f t="shared" si="1"/>
        <v>0</v>
      </c>
      <c r="D13" s="9"/>
      <c r="E13" s="9"/>
      <c r="F13" s="9"/>
      <c r="G13" s="9"/>
      <c r="H13" s="9"/>
      <c r="I13" s="9"/>
      <c r="J13" s="9"/>
    </row>
    <row r="14" spans="2:12" x14ac:dyDescent="0.2">
      <c r="B14" s="3" t="s">
        <v>363</v>
      </c>
      <c r="C14" s="8">
        <f t="shared" si="1"/>
        <v>0</v>
      </c>
      <c r="D14" s="9"/>
      <c r="E14" s="9"/>
      <c r="F14" s="9"/>
      <c r="G14" s="9"/>
      <c r="H14" s="9"/>
      <c r="I14" s="9"/>
      <c r="J14" s="9"/>
    </row>
    <row r="15" spans="2:12" ht="11.25" customHeight="1" x14ac:dyDescent="0.2">
      <c r="B15" s="10" t="s">
        <v>364</v>
      </c>
      <c r="C15" s="13">
        <f t="shared" si="1"/>
        <v>102000000</v>
      </c>
      <c r="D15" s="13">
        <f t="shared" ref="D15:J15" si="4">SUM(D12:D13)</f>
        <v>0</v>
      </c>
      <c r="E15" s="13">
        <f t="shared" si="4"/>
        <v>20400000</v>
      </c>
      <c r="F15" s="13">
        <f t="shared" si="4"/>
        <v>81600000</v>
      </c>
      <c r="G15" s="13">
        <f t="shared" si="4"/>
        <v>0</v>
      </c>
      <c r="H15" s="13">
        <f t="shared" si="4"/>
        <v>0</v>
      </c>
      <c r="I15" s="13">
        <f t="shared" si="4"/>
        <v>0</v>
      </c>
      <c r="J15" s="13">
        <f t="shared" si="4"/>
        <v>0</v>
      </c>
    </row>
    <row r="16" spans="2:12" x14ac:dyDescent="0.2">
      <c r="B16" s="3" t="s">
        <v>49</v>
      </c>
      <c r="C16" s="8">
        <f t="shared" si="1"/>
        <v>20400000</v>
      </c>
      <c r="D16" s="9">
        <f>D15*20%</f>
        <v>0</v>
      </c>
      <c r="E16" s="9">
        <f>E15*20%</f>
        <v>4080000</v>
      </c>
      <c r="F16" s="9">
        <f>F15*20%</f>
        <v>16320000</v>
      </c>
      <c r="G16" s="9">
        <f t="shared" ref="G16:J16" si="5">G15*20%</f>
        <v>0</v>
      </c>
      <c r="H16" s="9">
        <f t="shared" si="5"/>
        <v>0</v>
      </c>
      <c r="I16" s="9">
        <f t="shared" si="5"/>
        <v>0</v>
      </c>
      <c r="J16" s="9">
        <f t="shared" si="5"/>
        <v>0</v>
      </c>
    </row>
    <row r="17" spans="2:12" x14ac:dyDescent="0.2">
      <c r="B17" s="4" t="s">
        <v>167</v>
      </c>
      <c r="C17" s="13">
        <f t="shared" si="1"/>
        <v>122400000</v>
      </c>
      <c r="D17" s="13">
        <f t="shared" ref="D17:J17" si="6">SUM(D15:D16)</f>
        <v>0</v>
      </c>
      <c r="E17" s="13">
        <f t="shared" si="6"/>
        <v>24480000</v>
      </c>
      <c r="F17" s="13">
        <f t="shared" si="6"/>
        <v>97920000</v>
      </c>
      <c r="G17" s="13">
        <f t="shared" si="6"/>
        <v>0</v>
      </c>
      <c r="H17" s="13">
        <f t="shared" si="6"/>
        <v>0</v>
      </c>
      <c r="I17" s="13">
        <f t="shared" si="6"/>
        <v>0</v>
      </c>
      <c r="J17" s="13">
        <f t="shared" si="6"/>
        <v>0</v>
      </c>
    </row>
    <row r="18" spans="2:12" x14ac:dyDescent="0.2">
      <c r="C18" s="14"/>
      <c r="D18" s="14"/>
      <c r="E18" s="14"/>
      <c r="F18" s="14"/>
      <c r="G18" s="14"/>
      <c r="H18" s="14"/>
      <c r="I18" s="14"/>
      <c r="J18" s="14"/>
    </row>
    <row r="19" spans="2:12" x14ac:dyDescent="0.2">
      <c r="B19" s="208" t="s">
        <v>168</v>
      </c>
      <c r="C19" s="209">
        <f>SUM(D19:J19)</f>
        <v>102000000</v>
      </c>
      <c r="D19" s="209">
        <f>D15</f>
        <v>0</v>
      </c>
      <c r="E19" s="209">
        <f t="shared" ref="E19:J19" si="7">E15</f>
        <v>20400000</v>
      </c>
      <c r="F19" s="209">
        <f t="shared" si="7"/>
        <v>81600000</v>
      </c>
      <c r="G19" s="209">
        <f t="shared" si="7"/>
        <v>0</v>
      </c>
      <c r="H19" s="209">
        <f t="shared" si="7"/>
        <v>0</v>
      </c>
      <c r="I19" s="209">
        <f t="shared" si="7"/>
        <v>0</v>
      </c>
      <c r="J19" s="209">
        <f t="shared" si="7"/>
        <v>0</v>
      </c>
      <c r="L19" s="207" t="s">
        <v>362</v>
      </c>
    </row>
    <row r="20" spans="2:12" x14ac:dyDescent="0.2">
      <c r="B20" s="208" t="s">
        <v>169</v>
      </c>
      <c r="C20" s="209">
        <f>SUM(D20:J20)</f>
        <v>20400000</v>
      </c>
      <c r="D20" s="209">
        <f t="shared" ref="D20:J20" si="8">D17-D19</f>
        <v>0</v>
      </c>
      <c r="E20" s="209">
        <f t="shared" si="8"/>
        <v>4080000</v>
      </c>
      <c r="F20" s="209">
        <f t="shared" si="8"/>
        <v>16320000</v>
      </c>
      <c r="G20" s="209">
        <f t="shared" si="8"/>
        <v>0</v>
      </c>
      <c r="H20" s="209">
        <f t="shared" si="8"/>
        <v>0</v>
      </c>
      <c r="I20" s="209">
        <f t="shared" si="8"/>
        <v>0</v>
      </c>
      <c r="J20" s="209">
        <f t="shared" si="8"/>
        <v>0</v>
      </c>
    </row>
    <row r="21" spans="2:12" x14ac:dyDescent="0.2">
      <c r="B21" s="1"/>
    </row>
    <row r="23" spans="2:12" x14ac:dyDescent="0.2">
      <c r="B23" s="3"/>
      <c r="C23" s="3"/>
      <c r="D23" s="3" t="s">
        <v>10</v>
      </c>
      <c r="E23" s="3"/>
      <c r="F23" s="3"/>
      <c r="G23" s="3"/>
      <c r="H23" s="3"/>
      <c r="I23" s="3"/>
      <c r="J23" s="3"/>
      <c r="L23" s="2" t="s">
        <v>164</v>
      </c>
    </row>
    <row r="24" spans="2:12" x14ac:dyDescent="0.2">
      <c r="B24" s="4"/>
      <c r="C24" s="4"/>
      <c r="D24" s="5">
        <v>1</v>
      </c>
      <c r="E24" s="5">
        <v>2</v>
      </c>
      <c r="F24" s="5">
        <v>3</v>
      </c>
      <c r="G24" s="5">
        <v>4</v>
      </c>
      <c r="H24" s="5">
        <v>5</v>
      </c>
      <c r="I24" s="5">
        <v>6</v>
      </c>
      <c r="J24" s="5"/>
      <c r="L24" s="2" t="s">
        <v>165</v>
      </c>
    </row>
    <row r="25" spans="2:12" x14ac:dyDescent="0.2">
      <c r="B25" s="6" t="s">
        <v>38</v>
      </c>
      <c r="C25" s="6" t="s">
        <v>9</v>
      </c>
      <c r="D25" s="7">
        <f t="shared" ref="D25:J25" si="9">D4</f>
        <v>2025</v>
      </c>
      <c r="E25" s="7">
        <f t="shared" si="9"/>
        <v>2026</v>
      </c>
      <c r="F25" s="7">
        <f t="shared" si="9"/>
        <v>2027</v>
      </c>
      <c r="G25" s="7">
        <f t="shared" si="9"/>
        <v>2028</v>
      </c>
      <c r="H25" s="7">
        <f t="shared" si="9"/>
        <v>2029</v>
      </c>
      <c r="I25" s="7">
        <f t="shared" si="9"/>
        <v>2030</v>
      </c>
      <c r="J25" s="7" t="str">
        <f t="shared" si="9"/>
        <v>...</v>
      </c>
    </row>
    <row r="26" spans="2:12" x14ac:dyDescent="0.2">
      <c r="B26" s="3" t="s">
        <v>267</v>
      </c>
      <c r="C26" s="8">
        <f t="shared" ref="C26:C28" si="10">SUM(D26:J26)</f>
        <v>91800000</v>
      </c>
      <c r="D26" s="8">
        <f>SUM(D27:D31)</f>
        <v>0</v>
      </c>
      <c r="E26" s="8">
        <f t="shared" ref="E26:J26" si="11">SUM(E27:E31)</f>
        <v>18360000</v>
      </c>
      <c r="F26" s="8">
        <f t="shared" si="11"/>
        <v>73440000</v>
      </c>
      <c r="G26" s="8">
        <f t="shared" si="11"/>
        <v>0</v>
      </c>
      <c r="H26" s="8">
        <f t="shared" si="11"/>
        <v>0</v>
      </c>
      <c r="I26" s="8">
        <f t="shared" si="11"/>
        <v>0</v>
      </c>
      <c r="J26" s="8">
        <f t="shared" si="11"/>
        <v>0</v>
      </c>
    </row>
    <row r="27" spans="2:12" x14ac:dyDescent="0.2">
      <c r="B27" s="108" t="s">
        <v>459</v>
      </c>
      <c r="C27" s="109">
        <f t="shared" si="10"/>
        <v>18360000</v>
      </c>
      <c r="D27" s="109">
        <f>D6*Parametre!$C$47</f>
        <v>0</v>
      </c>
      <c r="E27" s="109">
        <f>E6*Parametre!$C$47</f>
        <v>3672000</v>
      </c>
      <c r="F27" s="109">
        <f>F6*Parametre!$C$47</f>
        <v>14688000</v>
      </c>
      <c r="G27" s="109">
        <f>G6*Parametre!$C$47</f>
        <v>0</v>
      </c>
      <c r="H27" s="109">
        <f>H6*Parametre!$C$47</f>
        <v>0</v>
      </c>
      <c r="I27" s="109">
        <f>I6*Parametre!$C$47</f>
        <v>0</v>
      </c>
      <c r="J27" s="109">
        <f>J6*Parametre!$C$47</f>
        <v>0</v>
      </c>
    </row>
    <row r="28" spans="2:12" x14ac:dyDescent="0.2">
      <c r="B28" s="108" t="s">
        <v>460</v>
      </c>
      <c r="C28" s="109">
        <f t="shared" si="10"/>
        <v>4590000</v>
      </c>
      <c r="D28" s="109">
        <f>D7*Parametre!$C$47</f>
        <v>0</v>
      </c>
      <c r="E28" s="109">
        <f>E7*Parametre!$C$47</f>
        <v>918000</v>
      </c>
      <c r="F28" s="109">
        <f>F7*Parametre!$C$47</f>
        <v>3672000</v>
      </c>
      <c r="G28" s="109">
        <f>G7*Parametre!$C$47</f>
        <v>0</v>
      </c>
      <c r="H28" s="109">
        <f>H7*Parametre!$C$47</f>
        <v>0</v>
      </c>
      <c r="I28" s="109">
        <f>I7*Parametre!$C$47</f>
        <v>0</v>
      </c>
      <c r="J28" s="109">
        <f>J7*Parametre!$C$47</f>
        <v>0</v>
      </c>
    </row>
    <row r="29" spans="2:12" x14ac:dyDescent="0.2">
      <c r="B29" s="108" t="s">
        <v>461</v>
      </c>
      <c r="C29" s="109">
        <f>SUM(D29:J29)</f>
        <v>24786000</v>
      </c>
      <c r="D29" s="109">
        <f>D8*Parametre!$C$47</f>
        <v>0</v>
      </c>
      <c r="E29" s="109">
        <f>E8*Parametre!$C$47</f>
        <v>4957200</v>
      </c>
      <c r="F29" s="109">
        <f>F8*Parametre!$C$47</f>
        <v>19828800</v>
      </c>
      <c r="G29" s="109">
        <f>G8*Parametre!$C$47</f>
        <v>0</v>
      </c>
      <c r="H29" s="109">
        <f>H8*Parametre!$C$47</f>
        <v>0</v>
      </c>
      <c r="I29" s="109">
        <f>I8*Parametre!$C$47</f>
        <v>0</v>
      </c>
      <c r="J29" s="109">
        <f>J8*Parametre!$C$47</f>
        <v>0</v>
      </c>
    </row>
    <row r="30" spans="2:12" x14ac:dyDescent="0.2">
      <c r="B30" s="108" t="s">
        <v>462</v>
      </c>
      <c r="C30" s="109">
        <f t="shared" ref="C30:C31" si="12">SUM(D30:J30)</f>
        <v>24786000</v>
      </c>
      <c r="D30" s="109">
        <f>D9*Parametre!$C$47</f>
        <v>0</v>
      </c>
      <c r="E30" s="109">
        <f>E9*Parametre!$C$47</f>
        <v>4957200</v>
      </c>
      <c r="F30" s="109">
        <f>F9*Parametre!$C$47</f>
        <v>19828800</v>
      </c>
      <c r="G30" s="109">
        <f>G9*Parametre!$C$47</f>
        <v>0</v>
      </c>
      <c r="H30" s="109">
        <f>H9*Parametre!$C$47</f>
        <v>0</v>
      </c>
      <c r="I30" s="109">
        <f>I9*Parametre!$C$47</f>
        <v>0</v>
      </c>
      <c r="J30" s="109">
        <f>J9*Parametre!$C$47</f>
        <v>0</v>
      </c>
    </row>
    <row r="31" spans="2:12" x14ac:dyDescent="0.2">
      <c r="B31" s="108" t="s">
        <v>463</v>
      </c>
      <c r="C31" s="109">
        <f t="shared" si="12"/>
        <v>19278000</v>
      </c>
      <c r="D31" s="109">
        <f>D10*Parametre!$C$47</f>
        <v>0</v>
      </c>
      <c r="E31" s="109">
        <f>E10*Parametre!$C$47</f>
        <v>3855600</v>
      </c>
      <c r="F31" s="109">
        <f>F10*Parametre!$C$47</f>
        <v>15422400</v>
      </c>
      <c r="G31" s="109">
        <f>G10*Parametre!$C$47</f>
        <v>0</v>
      </c>
      <c r="H31" s="109">
        <f>H10*Parametre!$C$47</f>
        <v>0</v>
      </c>
      <c r="I31" s="109">
        <f>I10*Parametre!$C$47</f>
        <v>0</v>
      </c>
      <c r="J31" s="109">
        <f>J10*Parametre!$C$47</f>
        <v>0</v>
      </c>
    </row>
    <row r="32" spans="2:12" x14ac:dyDescent="0.2">
      <c r="B32" s="3" t="s">
        <v>48</v>
      </c>
      <c r="C32" s="8">
        <f>SUM(D32:J32)</f>
        <v>0</v>
      </c>
      <c r="D32" s="8">
        <f>D11*Parametre!$C$47</f>
        <v>0</v>
      </c>
      <c r="E32" s="8">
        <f>E11*Parametre!$C$47</f>
        <v>0</v>
      </c>
      <c r="F32" s="8">
        <f>F11*Parametre!$C$47</f>
        <v>0</v>
      </c>
      <c r="G32" s="8">
        <f>G11*Parametre!$C$47</f>
        <v>0</v>
      </c>
      <c r="H32" s="8">
        <f>H11*Parametre!$C$47</f>
        <v>0</v>
      </c>
      <c r="I32" s="8">
        <f>I11*Parametre!$C$47</f>
        <v>0</v>
      </c>
      <c r="J32" s="8">
        <f>J11*Parametre!$C$47</f>
        <v>0</v>
      </c>
    </row>
    <row r="33" spans="2:10" x14ac:dyDescent="0.2">
      <c r="B33" s="4" t="s">
        <v>45</v>
      </c>
      <c r="C33" s="13">
        <f>SUM(D33:J33)</f>
        <v>91800000</v>
      </c>
      <c r="D33" s="13">
        <f t="shared" ref="D33:J33" si="13">SUM(D26:D26,D32:D32)</f>
        <v>0</v>
      </c>
      <c r="E33" s="13">
        <f t="shared" si="13"/>
        <v>18360000</v>
      </c>
      <c r="F33" s="13">
        <f t="shared" si="13"/>
        <v>73440000</v>
      </c>
      <c r="G33" s="13">
        <f t="shared" si="13"/>
        <v>0</v>
      </c>
      <c r="H33" s="13">
        <f t="shared" si="13"/>
        <v>0</v>
      </c>
      <c r="I33" s="13">
        <f t="shared" si="13"/>
        <v>0</v>
      </c>
      <c r="J33" s="13">
        <f t="shared" si="13"/>
        <v>0</v>
      </c>
    </row>
    <row r="34" spans="2:10" x14ac:dyDescent="0.2">
      <c r="B34" s="15"/>
      <c r="C34" s="105"/>
      <c r="D34" s="105"/>
      <c r="E34" s="105"/>
      <c r="F34" s="105"/>
      <c r="G34" s="105"/>
      <c r="H34" s="105"/>
      <c r="I34" s="105"/>
      <c r="J34" s="105"/>
    </row>
    <row r="35" spans="2:10" x14ac:dyDescent="0.2">
      <c r="B35" s="15" t="s">
        <v>266</v>
      </c>
      <c r="C35" s="105"/>
      <c r="D35" s="105"/>
      <c r="E35" s="105"/>
      <c r="F35" s="105"/>
      <c r="G35" s="105"/>
      <c r="H35" s="105"/>
      <c r="I35" s="105"/>
      <c r="J35" s="105"/>
    </row>
    <row r="36" spans="2:10" x14ac:dyDescent="0.2">
      <c r="B36" s="106" t="s">
        <v>459</v>
      </c>
    </row>
    <row r="37" spans="2:10" x14ac:dyDescent="0.2">
      <c r="B37" s="210" t="s">
        <v>477</v>
      </c>
    </row>
    <row r="38" spans="2:10" x14ac:dyDescent="0.2">
      <c r="B38" s="106" t="s">
        <v>460</v>
      </c>
    </row>
    <row r="39" spans="2:10" x14ac:dyDescent="0.2">
      <c r="B39" s="210" t="s">
        <v>478</v>
      </c>
    </row>
    <row r="40" spans="2:10" x14ac:dyDescent="0.2">
      <c r="B40" s="106" t="s">
        <v>461</v>
      </c>
    </row>
    <row r="41" spans="2:10" x14ac:dyDescent="0.2">
      <c r="B41" s="210" t="s">
        <v>479</v>
      </c>
    </row>
    <row r="42" spans="2:10" x14ac:dyDescent="0.2">
      <c r="B42" s="106" t="s">
        <v>462</v>
      </c>
    </row>
    <row r="43" spans="2:10" x14ac:dyDescent="0.2">
      <c r="B43" s="210" t="s">
        <v>480</v>
      </c>
    </row>
    <row r="44" spans="2:10" x14ac:dyDescent="0.2">
      <c r="B44" s="106" t="s">
        <v>463</v>
      </c>
    </row>
    <row r="45" spans="2:10" x14ac:dyDescent="0.2">
      <c r="B45" s="210" t="s">
        <v>481</v>
      </c>
    </row>
    <row r="46" spans="2:10" x14ac:dyDescent="0.2">
      <c r="B46" s="107" t="s">
        <v>162</v>
      </c>
    </row>
    <row r="47" spans="2:10" x14ac:dyDescent="0.2">
      <c r="B47" s="1" t="s">
        <v>268</v>
      </c>
    </row>
    <row r="48" spans="2:10" x14ac:dyDescent="0.2">
      <c r="B48" s="106" t="s">
        <v>163</v>
      </c>
    </row>
    <row r="49" spans="2:6" x14ac:dyDescent="0.2">
      <c r="B49" s="210" t="s">
        <v>365</v>
      </c>
    </row>
    <row r="50" spans="2:6" x14ac:dyDescent="0.2">
      <c r="B50" s="106" t="s">
        <v>366</v>
      </c>
    </row>
    <row r="51" spans="2:6" x14ac:dyDescent="0.2">
      <c r="B51" s="210" t="s">
        <v>367</v>
      </c>
    </row>
    <row r="53" spans="2:6" ht="22.5" x14ac:dyDescent="0.2">
      <c r="B53" s="453" t="s">
        <v>555</v>
      </c>
      <c r="C53" s="454" t="s">
        <v>556</v>
      </c>
      <c r="D53" s="455" t="s">
        <v>557</v>
      </c>
      <c r="E53" s="454" t="s">
        <v>558</v>
      </c>
    </row>
    <row r="54" spans="2:6" x14ac:dyDescent="0.2">
      <c r="B54" s="131" t="s">
        <v>559</v>
      </c>
      <c r="C54" s="66">
        <v>25500000</v>
      </c>
      <c r="D54" s="43">
        <v>4</v>
      </c>
      <c r="E54" s="456">
        <f>C54*D54</f>
        <v>102000000</v>
      </c>
    </row>
    <row r="55" spans="2:6" x14ac:dyDescent="0.2">
      <c r="B55" s="457" t="s">
        <v>508</v>
      </c>
      <c r="C55" s="458"/>
      <c r="D55" s="459">
        <f>SUM(D54:D54)</f>
        <v>4</v>
      </c>
      <c r="E55" s="460">
        <f>SUM(E54:E54)</f>
        <v>102000000</v>
      </c>
    </row>
    <row r="56" spans="2:6" x14ac:dyDescent="0.2">
      <c r="B56" s="1" t="s">
        <v>560</v>
      </c>
      <c r="D56" s="79"/>
      <c r="E56" s="461"/>
    </row>
    <row r="58" spans="2:6" x14ac:dyDescent="0.2">
      <c r="C58" s="2">
        <v>1</v>
      </c>
      <c r="D58" s="2">
        <v>2</v>
      </c>
      <c r="E58" s="2">
        <v>3</v>
      </c>
    </row>
    <row r="59" spans="2:6" x14ac:dyDescent="0.2">
      <c r="B59" s="6" t="s">
        <v>561</v>
      </c>
      <c r="C59" s="462">
        <v>2025</v>
      </c>
      <c r="D59" s="462">
        <v>2026</v>
      </c>
      <c r="E59" s="462">
        <v>2027</v>
      </c>
      <c r="F59" s="462" t="s">
        <v>508</v>
      </c>
    </row>
    <row r="60" spans="2:6" x14ac:dyDescent="0.2">
      <c r="B60" s="463" t="s">
        <v>559</v>
      </c>
      <c r="C60" s="43">
        <v>0</v>
      </c>
      <c r="D60" s="464">
        <v>0</v>
      </c>
      <c r="E60" s="464">
        <v>4</v>
      </c>
      <c r="F60" s="43">
        <f>SUM(C60:E60)</f>
        <v>4</v>
      </c>
    </row>
    <row r="61" spans="2:6" x14ac:dyDescent="0.2">
      <c r="B61" s="465" t="s">
        <v>508</v>
      </c>
      <c r="C61" s="466">
        <f>SUM(C60:C60)</f>
        <v>0</v>
      </c>
      <c r="D61" s="466">
        <f>SUM(D60:D60)</f>
        <v>0</v>
      </c>
      <c r="E61" s="466">
        <f>SUM(E60:E60)</f>
        <v>4</v>
      </c>
      <c r="F61" s="466">
        <f>SUM(F60:F60)</f>
        <v>4</v>
      </c>
    </row>
    <row r="62" spans="2:6" x14ac:dyDescent="0.2">
      <c r="B62" s="1" t="s">
        <v>560</v>
      </c>
      <c r="D62" s="467"/>
      <c r="E62" s="467"/>
      <c r="F62" s="467"/>
    </row>
    <row r="64" spans="2:6" x14ac:dyDescent="0.2">
      <c r="B64" s="6" t="s">
        <v>562</v>
      </c>
      <c r="C64" s="15"/>
      <c r="D64" s="468"/>
      <c r="E64" s="468"/>
      <c r="F64" s="468"/>
    </row>
    <row r="65" spans="2:6" x14ac:dyDescent="0.2">
      <c r="C65" s="469">
        <v>2025</v>
      </c>
      <c r="D65" s="469">
        <v>2026</v>
      </c>
      <c r="E65" s="469">
        <v>2027</v>
      </c>
      <c r="F65" s="469" t="s">
        <v>508</v>
      </c>
    </row>
    <row r="66" spans="2:6" x14ac:dyDescent="0.2">
      <c r="B66" s="212" t="s">
        <v>563</v>
      </c>
      <c r="D66" s="470" t="s">
        <v>564</v>
      </c>
      <c r="E66" s="471" t="s">
        <v>565</v>
      </c>
      <c r="F66" s="472"/>
    </row>
    <row r="67" spans="2:6" x14ac:dyDescent="0.2">
      <c r="B67" s="471" t="s">
        <v>559</v>
      </c>
      <c r="C67" s="3"/>
      <c r="D67" s="473">
        <f>C54*20%*D54</f>
        <v>20400000</v>
      </c>
      <c r="E67" s="473">
        <f>80%*C54*E60</f>
        <v>81600000</v>
      </c>
      <c r="F67" s="472">
        <f>SUM(D67:E67)</f>
        <v>102000000</v>
      </c>
    </row>
    <row r="68" spans="2:6" x14ac:dyDescent="0.2">
      <c r="B68" s="474" t="s">
        <v>508</v>
      </c>
      <c r="C68" s="472">
        <f>SUM(C66:C67)</f>
        <v>0</v>
      </c>
      <c r="D68" s="472">
        <f>SUM(D66:D67)</f>
        <v>20400000</v>
      </c>
      <c r="E68" s="475">
        <f>SUM(E67:E67)</f>
        <v>81600000</v>
      </c>
      <c r="F68" s="472">
        <f>SUM(C68:E68)</f>
        <v>102000000</v>
      </c>
    </row>
    <row r="69" spans="2:6" x14ac:dyDescent="0.2">
      <c r="B69" s="1" t="s">
        <v>560</v>
      </c>
      <c r="D69" s="14"/>
    </row>
  </sheetData>
  <sheetProtection algorithmName="SHA-512" hashValue="24FvKzcAcGMXwcpbIbitzyTAjyWwzLgDU4YVukS2VlzI+9bSD8ktHHVeEZZzu7KwuFWnuWSCefPnTkxbU3/wbg==" saltValue="soejaX8z0phQzWI6XEWE3Q==" spinCount="100000" sheet="1" objects="1" scenarios="1"/>
  <phoneticPr fontId="3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 
&amp;"Arial,Tučné"&amp;12 01 Investičné náklady</oddHeader>
    <oddFooter>&amp;CStrana &amp;P z &amp;N</oddFooter>
  </headerFooter>
  <ignoredErrors>
    <ignoredError sqref="D5:J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B1:R21"/>
  <sheetViews>
    <sheetView zoomScale="90" zoomScaleNormal="90" workbookViewId="0"/>
  </sheetViews>
  <sheetFormatPr defaultColWidth="9.140625" defaultRowHeight="11.25" x14ac:dyDescent="0.2"/>
  <cols>
    <col min="1" max="1" width="2.7109375" style="2" customWidth="1"/>
    <col min="2" max="2" width="50.7109375" style="2" customWidth="1"/>
    <col min="3" max="9" width="13.7109375" style="2" customWidth="1"/>
    <col min="10" max="11" width="5" style="2" bestFit="1" customWidth="1"/>
    <col min="12" max="12" width="12.85546875" style="2" customWidth="1"/>
    <col min="13" max="36" width="5" style="2" bestFit="1" customWidth="1"/>
    <col min="37" max="16384" width="9.140625" style="2"/>
  </cols>
  <sheetData>
    <row r="1" spans="2:18" ht="12" thickBot="1" x14ac:dyDescent="0.25"/>
    <row r="2" spans="2:18" x14ac:dyDescent="0.2">
      <c r="B2" s="15" t="s">
        <v>666</v>
      </c>
      <c r="H2" s="53" t="s">
        <v>76</v>
      </c>
      <c r="I2" s="54" t="s">
        <v>77</v>
      </c>
    </row>
    <row r="3" spans="2:18" ht="56.25" x14ac:dyDescent="0.2">
      <c r="B3" s="47" t="s">
        <v>466</v>
      </c>
      <c r="C3" s="48" t="s">
        <v>269</v>
      </c>
      <c r="D3" s="48" t="s">
        <v>64</v>
      </c>
      <c r="E3" s="48" t="s">
        <v>31</v>
      </c>
      <c r="F3" s="48" t="s">
        <v>30</v>
      </c>
      <c r="G3" s="49" t="s">
        <v>32</v>
      </c>
      <c r="H3" s="51" t="s">
        <v>16</v>
      </c>
      <c r="I3" s="52" t="s">
        <v>16</v>
      </c>
      <c r="L3" s="2" t="s">
        <v>164</v>
      </c>
    </row>
    <row r="4" spans="2:18" x14ac:dyDescent="0.2">
      <c r="B4" s="16" t="s">
        <v>459</v>
      </c>
      <c r="C4" s="18">
        <v>50</v>
      </c>
      <c r="D4" s="113">
        <f>$E$21-Parametre!$C$15</f>
        <v>32</v>
      </c>
      <c r="E4" s="17">
        <f>ROUNDDOWN(D4/C4,0)</f>
        <v>0</v>
      </c>
      <c r="F4" s="18">
        <f>C4+(E4*C4)</f>
        <v>50</v>
      </c>
      <c r="G4" s="50">
        <f>(F4-D4)/C4</f>
        <v>0.36</v>
      </c>
      <c r="H4" s="152">
        <f>G4*'01 Investičné výdavky'!C6</f>
        <v>7344000</v>
      </c>
      <c r="I4" s="154">
        <f>H4*Parametre!$C$47</f>
        <v>6609600</v>
      </c>
      <c r="L4" s="2" t="s">
        <v>165</v>
      </c>
    </row>
    <row r="5" spans="2:18" x14ac:dyDescent="0.2">
      <c r="B5" s="16" t="s">
        <v>460</v>
      </c>
      <c r="C5" s="18">
        <v>30</v>
      </c>
      <c r="D5" s="113">
        <f>$E$21-Parametre!$C$15</f>
        <v>32</v>
      </c>
      <c r="E5" s="17">
        <f t="shared" ref="E5:E8" si="0">ROUNDDOWN(D5/C5,0)</f>
        <v>1</v>
      </c>
      <c r="F5" s="18">
        <f t="shared" ref="F5:F8" si="1">C5+(E5*C5)</f>
        <v>60</v>
      </c>
      <c r="G5" s="50">
        <f t="shared" ref="G5:G8" si="2">(F5-D5)/C5</f>
        <v>0.93333333333333335</v>
      </c>
      <c r="H5" s="152">
        <f>G5*'01 Investičné výdavky'!C7</f>
        <v>4760000</v>
      </c>
      <c r="I5" s="154">
        <f>H5*Parametre!$C$47</f>
        <v>4284000</v>
      </c>
      <c r="K5" s="207" t="s">
        <v>464</v>
      </c>
      <c r="L5" s="285">
        <f>'01 Investičné výdavky'!C6*1</f>
        <v>20400000</v>
      </c>
      <c r="M5" s="286">
        <f>E5</f>
        <v>1</v>
      </c>
      <c r="N5" s="286" t="s">
        <v>465</v>
      </c>
      <c r="O5" s="286"/>
      <c r="P5" s="286"/>
      <c r="Q5" s="286"/>
      <c r="R5" s="286"/>
    </row>
    <row r="6" spans="2:18" x14ac:dyDescent="0.2">
      <c r="B6" s="16" t="s">
        <v>461</v>
      </c>
      <c r="C6" s="18">
        <v>30</v>
      </c>
      <c r="D6" s="113">
        <f>$E$21-Parametre!$C$15</f>
        <v>32</v>
      </c>
      <c r="E6" s="17">
        <f t="shared" si="0"/>
        <v>1</v>
      </c>
      <c r="F6" s="18">
        <f t="shared" si="1"/>
        <v>60</v>
      </c>
      <c r="G6" s="50">
        <f t="shared" si="2"/>
        <v>0.93333333333333335</v>
      </c>
      <c r="H6" s="152">
        <f>G6*'01 Investičné výdavky'!C8</f>
        <v>25704000</v>
      </c>
      <c r="I6" s="154">
        <f>H6*Parametre!$C$47</f>
        <v>23133600</v>
      </c>
      <c r="K6" s="207" t="s">
        <v>464</v>
      </c>
      <c r="L6" s="285">
        <f>'01 Investičné výdavky'!C7*1</f>
        <v>5100000</v>
      </c>
      <c r="M6" s="286">
        <f t="shared" ref="M6:M8" si="3">E6</f>
        <v>1</v>
      </c>
      <c r="N6" s="286" t="s">
        <v>465</v>
      </c>
      <c r="O6" s="286"/>
      <c r="P6" s="286"/>
      <c r="Q6" s="286"/>
      <c r="R6" s="286"/>
    </row>
    <row r="7" spans="2:18" x14ac:dyDescent="0.2">
      <c r="B7" s="16" t="s">
        <v>462</v>
      </c>
      <c r="C7" s="18">
        <v>30</v>
      </c>
      <c r="D7" s="113">
        <f>$E$21-Parametre!$C$15</f>
        <v>32</v>
      </c>
      <c r="E7" s="17">
        <f t="shared" si="0"/>
        <v>1</v>
      </c>
      <c r="F7" s="18">
        <f t="shared" si="1"/>
        <v>60</v>
      </c>
      <c r="G7" s="50">
        <f t="shared" si="2"/>
        <v>0.93333333333333335</v>
      </c>
      <c r="H7" s="152">
        <f>G7*'01 Investičné výdavky'!C9</f>
        <v>25704000</v>
      </c>
      <c r="I7" s="154">
        <f>H7*Parametre!$C$47</f>
        <v>23133600</v>
      </c>
      <c r="K7" s="207" t="s">
        <v>464</v>
      </c>
      <c r="L7" s="285">
        <f>'01 Investičné výdavky'!C8*1</f>
        <v>27540000</v>
      </c>
      <c r="M7" s="286">
        <f t="shared" si="3"/>
        <v>1</v>
      </c>
      <c r="N7" s="286" t="s">
        <v>465</v>
      </c>
      <c r="O7" s="286"/>
      <c r="P7" s="286"/>
      <c r="Q7" s="286"/>
      <c r="R7" s="286"/>
    </row>
    <row r="8" spans="2:18" ht="12" thickBot="1" x14ac:dyDescent="0.25">
      <c r="B8" s="16" t="s">
        <v>463</v>
      </c>
      <c r="C8" s="18">
        <v>20</v>
      </c>
      <c r="D8" s="113">
        <f>$E$21-Parametre!$C$15</f>
        <v>32</v>
      </c>
      <c r="E8" s="17">
        <f t="shared" si="0"/>
        <v>1</v>
      </c>
      <c r="F8" s="18">
        <f t="shared" si="1"/>
        <v>40</v>
      </c>
      <c r="G8" s="50">
        <f t="shared" si="2"/>
        <v>0.4</v>
      </c>
      <c r="H8" s="152">
        <f>G8*'01 Investičné výdavky'!C10</f>
        <v>8568000</v>
      </c>
      <c r="I8" s="154">
        <f>H8*Parametre!$C$47</f>
        <v>7711200</v>
      </c>
      <c r="K8" s="207" t="s">
        <v>464</v>
      </c>
      <c r="L8" s="285">
        <f>'01 Investičné výdavky'!C9*1</f>
        <v>27540000</v>
      </c>
      <c r="M8" s="286">
        <f t="shared" si="3"/>
        <v>1</v>
      </c>
      <c r="N8" s="286" t="s">
        <v>465</v>
      </c>
      <c r="O8" s="286"/>
      <c r="P8" s="286"/>
      <c r="Q8" s="286"/>
      <c r="R8" s="286"/>
    </row>
    <row r="9" spans="2:18" ht="12" thickBot="1" x14ac:dyDescent="0.25">
      <c r="B9" s="4" t="s">
        <v>16</v>
      </c>
      <c r="C9" s="3"/>
      <c r="D9" s="3"/>
      <c r="E9" s="3"/>
      <c r="F9" s="3"/>
      <c r="G9" s="26"/>
      <c r="H9" s="153">
        <f>SUM(H4:H8)</f>
        <v>72080000</v>
      </c>
      <c r="I9" s="151">
        <f>SUM(I4:I8)</f>
        <v>64872000</v>
      </c>
    </row>
    <row r="10" spans="2:18" x14ac:dyDescent="0.2">
      <c r="B10" s="1" t="s">
        <v>270</v>
      </c>
      <c r="L10" s="14"/>
    </row>
    <row r="12" spans="2:18" x14ac:dyDescent="0.2">
      <c r="B12" s="15" t="s">
        <v>368</v>
      </c>
    </row>
    <row r="13" spans="2:18" ht="22.5" x14ac:dyDescent="0.2">
      <c r="B13" s="47" t="s">
        <v>467</v>
      </c>
      <c r="C13" s="48" t="s">
        <v>369</v>
      </c>
      <c r="D13" s="48" t="s">
        <v>370</v>
      </c>
      <c r="E13" s="48" t="s">
        <v>371</v>
      </c>
      <c r="G13" s="14">
        <v>25500000</v>
      </c>
    </row>
    <row r="14" spans="2:18" x14ac:dyDescent="0.2">
      <c r="B14" s="16" t="s">
        <v>459</v>
      </c>
      <c r="C14" s="18">
        <f>C4</f>
        <v>50</v>
      </c>
      <c r="D14" s="211">
        <f>G14</f>
        <v>5100000</v>
      </c>
      <c r="E14" s="3">
        <f>ROUND(D14/$D$19,2)</f>
        <v>0.2</v>
      </c>
      <c r="G14" s="776">
        <f>G13*20%</f>
        <v>5100000</v>
      </c>
    </row>
    <row r="15" spans="2:18" x14ac:dyDescent="0.2">
      <c r="B15" s="16" t="s">
        <v>460</v>
      </c>
      <c r="C15" s="18">
        <f t="shared" ref="C15:C18" si="4">C5</f>
        <v>30</v>
      </c>
      <c r="D15" s="211">
        <f>G15</f>
        <v>1275000</v>
      </c>
      <c r="E15" s="3">
        <f t="shared" ref="E15:E18" si="5">ROUND(D15/$D$19,2)</f>
        <v>0.05</v>
      </c>
      <c r="G15" s="776">
        <f>G13*5%</f>
        <v>1275000</v>
      </c>
    </row>
    <row r="16" spans="2:18" x14ac:dyDescent="0.2">
      <c r="B16" s="16" t="s">
        <v>461</v>
      </c>
      <c r="C16" s="18">
        <f t="shared" si="4"/>
        <v>30</v>
      </c>
      <c r="D16" s="211">
        <f>G16</f>
        <v>6885000</v>
      </c>
      <c r="E16" s="3">
        <f t="shared" si="5"/>
        <v>0.27</v>
      </c>
      <c r="G16" s="776">
        <f>G13*27%</f>
        <v>6885000</v>
      </c>
    </row>
    <row r="17" spans="2:7" x14ac:dyDescent="0.2">
      <c r="B17" s="16" t="s">
        <v>462</v>
      </c>
      <c r="C17" s="18">
        <f t="shared" si="4"/>
        <v>30</v>
      </c>
      <c r="D17" s="211">
        <f>G17</f>
        <v>6885000</v>
      </c>
      <c r="E17" s="3">
        <f t="shared" si="5"/>
        <v>0.27</v>
      </c>
      <c r="G17" s="776">
        <f>G13*27%</f>
        <v>6885000</v>
      </c>
    </row>
    <row r="18" spans="2:7" x14ac:dyDescent="0.2">
      <c r="B18" s="16" t="s">
        <v>463</v>
      </c>
      <c r="C18" s="18">
        <f t="shared" si="4"/>
        <v>20</v>
      </c>
      <c r="D18" s="211">
        <f>G18</f>
        <v>5355000</v>
      </c>
      <c r="E18" s="3">
        <f t="shared" si="5"/>
        <v>0.21</v>
      </c>
      <c r="G18" s="776">
        <f>G13*21%</f>
        <v>5355000</v>
      </c>
    </row>
    <row r="19" spans="2:7" ht="12" thickBot="1" x14ac:dyDescent="0.25">
      <c r="B19" s="212"/>
      <c r="C19" s="213"/>
      <c r="D19" s="214">
        <f>SUM(D14:D18)</f>
        <v>25500000</v>
      </c>
      <c r="E19" s="213"/>
      <c r="G19" s="14"/>
    </row>
    <row r="20" spans="2:7" x14ac:dyDescent="0.2">
      <c r="B20" s="215" t="s">
        <v>372</v>
      </c>
      <c r="C20" s="216"/>
      <c r="D20" s="217"/>
      <c r="E20" s="218">
        <f>IFERROR(ROUND(SUMPRODUCT(C14:C18,E14:E18),0),0)</f>
        <v>32</v>
      </c>
    </row>
    <row r="21" spans="2:7" ht="12" thickBot="1" x14ac:dyDescent="0.25">
      <c r="B21" s="219" t="s">
        <v>373</v>
      </c>
      <c r="C21" s="220"/>
      <c r="D21" s="221"/>
      <c r="E21" s="222">
        <f>IF(E20&lt;=Parametre!C16,ROUND(E20+Parametre!C15,0),40)</f>
        <v>35</v>
      </c>
    </row>
  </sheetData>
  <sheetProtection algorithmName="SHA-512" hashValue="PBzgSViNBhX05nvsxWQU7QRX8x0KLxQM1/Ndpq5ovWRPUo1WJ7BZbjppM9+FoUFP+AYZ5oNZUt1VU98QoU5kcQ==" saltValue="ot/IvnzztUH9yLIPT7yGXQ==" spinCount="100000" sheet="1" objects="1" scenarios="1"/>
  <phoneticPr fontId="3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
&amp;"Arial,Tučné"&amp;12 02 Zostatková hodnota</oddHeader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0D44D-CFC9-42B4-8C40-1ECB21C73165}">
  <sheetPr>
    <tabColor rgb="FF99FF33"/>
  </sheetPr>
  <dimension ref="A1:AM212"/>
  <sheetViews>
    <sheetView zoomScale="90" zoomScaleNormal="90" zoomScaleSheetLayoutView="40" workbookViewId="0"/>
  </sheetViews>
  <sheetFormatPr defaultColWidth="8.85546875" defaultRowHeight="11.25" x14ac:dyDescent="0.2"/>
  <cols>
    <col min="1" max="1" width="65.5703125" style="233" customWidth="1"/>
    <col min="2" max="2" width="19.5703125" style="233" bestFit="1" customWidth="1"/>
    <col min="3" max="3" width="17.5703125" style="233" customWidth="1"/>
    <col min="4" max="4" width="19.5703125" style="233" bestFit="1" customWidth="1"/>
    <col min="5" max="5" width="15.42578125" style="233" customWidth="1"/>
    <col min="6" max="6" width="15.140625" style="233" bestFit="1" customWidth="1"/>
    <col min="7" max="7" width="15.140625" style="233" customWidth="1"/>
    <col min="8" max="8" width="12.5703125" style="233" customWidth="1"/>
    <col min="9" max="9" width="14.140625" style="233" bestFit="1" customWidth="1"/>
    <col min="10" max="10" width="12.42578125" style="233" customWidth="1"/>
    <col min="11" max="11" width="12.140625" style="233" customWidth="1"/>
    <col min="12" max="12" width="12.5703125" style="233" customWidth="1"/>
    <col min="13" max="13" width="12.42578125" style="233" customWidth="1"/>
    <col min="14" max="14" width="13" style="233" customWidth="1"/>
    <col min="15" max="15" width="11.85546875" style="233" customWidth="1"/>
    <col min="16" max="16" width="13.5703125" style="233" customWidth="1"/>
    <col min="17" max="17" width="11.5703125" style="233" customWidth="1"/>
    <col min="18" max="19" width="13" style="233" bestFit="1" customWidth="1"/>
    <col min="20" max="20" width="11" style="233" customWidth="1"/>
    <col min="21" max="24" width="13" style="233" bestFit="1" customWidth="1"/>
    <col min="25" max="25" width="11.5703125" style="233" customWidth="1"/>
    <col min="26" max="26" width="13" style="233" bestFit="1" customWidth="1"/>
    <col min="27" max="27" width="10.5703125" style="233" customWidth="1"/>
    <col min="28" max="28" width="10.85546875" style="233" customWidth="1"/>
    <col min="29" max="29" width="10.5703125" style="233" customWidth="1"/>
    <col min="30" max="30" width="11" style="233" customWidth="1"/>
    <col min="31" max="32" width="13" style="233" bestFit="1" customWidth="1"/>
    <col min="33" max="33" width="10.85546875" style="233" customWidth="1"/>
    <col min="34" max="34" width="9.85546875" style="233" bestFit="1" customWidth="1"/>
    <col min="35" max="35" width="13" style="233" bestFit="1" customWidth="1"/>
    <col min="36" max="36" width="10.85546875" style="233" customWidth="1"/>
    <col min="37" max="37" width="9.85546875" style="233" bestFit="1" customWidth="1"/>
    <col min="38" max="38" width="13" style="233" bestFit="1" customWidth="1"/>
    <col min="39" max="39" width="10.85546875" style="233" customWidth="1"/>
    <col min="40" max="16384" width="8.85546875" style="233"/>
  </cols>
  <sheetData>
    <row r="1" spans="1:39" x14ac:dyDescent="0.2">
      <c r="A1" s="478"/>
    </row>
    <row r="2" spans="1:39" ht="20.100000000000001" customHeight="1" x14ac:dyDescent="0.2">
      <c r="A2" s="479" t="s">
        <v>566</v>
      </c>
      <c r="B2" s="480" t="s">
        <v>508</v>
      </c>
      <c r="C2" s="481">
        <v>2023</v>
      </c>
      <c r="D2" s="482">
        <v>2024</v>
      </c>
      <c r="E2" s="481">
        <v>2025</v>
      </c>
      <c r="F2" s="482">
        <v>2026</v>
      </c>
      <c r="G2" s="481">
        <v>2027</v>
      </c>
      <c r="H2" s="482">
        <v>2028</v>
      </c>
      <c r="I2" s="481">
        <v>2029</v>
      </c>
      <c r="J2" s="482">
        <v>2030</v>
      </c>
      <c r="K2" s="481">
        <v>2031</v>
      </c>
      <c r="L2" s="482">
        <v>2032</v>
      </c>
      <c r="M2" s="481">
        <v>2033</v>
      </c>
      <c r="N2" s="482">
        <v>2034</v>
      </c>
      <c r="O2" s="481">
        <v>2035</v>
      </c>
      <c r="P2" s="482">
        <v>2036</v>
      </c>
      <c r="Q2" s="481">
        <v>2037</v>
      </c>
      <c r="R2" s="482">
        <v>2038</v>
      </c>
      <c r="S2" s="481">
        <v>2039</v>
      </c>
      <c r="T2" s="482">
        <v>2040</v>
      </c>
      <c r="U2" s="481">
        <v>2041</v>
      </c>
      <c r="V2" s="482">
        <v>2042</v>
      </c>
      <c r="W2" s="481">
        <v>2043</v>
      </c>
      <c r="X2" s="482">
        <v>2044</v>
      </c>
      <c r="Y2" s="481">
        <v>2045</v>
      </c>
      <c r="Z2" s="482">
        <v>2046</v>
      </c>
      <c r="AA2" s="481">
        <v>2047</v>
      </c>
      <c r="AB2" s="482">
        <v>2048</v>
      </c>
      <c r="AC2" s="481">
        <v>2049</v>
      </c>
      <c r="AD2" s="482">
        <v>2050</v>
      </c>
      <c r="AE2" s="481">
        <v>2051</v>
      </c>
      <c r="AF2" s="482">
        <v>2052</v>
      </c>
      <c r="AG2" s="481">
        <v>2053</v>
      </c>
      <c r="AH2" s="482">
        <v>2054</v>
      </c>
      <c r="AI2" s="482">
        <v>2055</v>
      </c>
      <c r="AJ2" s="481">
        <v>2056</v>
      </c>
      <c r="AK2" s="482">
        <v>2057</v>
      </c>
      <c r="AL2" s="482">
        <v>2058</v>
      </c>
      <c r="AM2" s="481">
        <v>2059</v>
      </c>
    </row>
    <row r="3" spans="1:39" x14ac:dyDescent="0.2">
      <c r="A3" s="234"/>
      <c r="B3" s="247"/>
      <c r="C3" s="483"/>
      <c r="D3" s="483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I3" s="247"/>
      <c r="AL3" s="247"/>
    </row>
    <row r="4" spans="1:39" x14ac:dyDescent="0.2">
      <c r="A4" s="484" t="s">
        <v>567</v>
      </c>
      <c r="B4" s="485">
        <f>SUM(E4:$AH$4)</f>
        <v>38587800</v>
      </c>
      <c r="C4" s="248">
        <f>E56</f>
        <v>1286260</v>
      </c>
      <c r="D4" s="248">
        <f>C4</f>
        <v>1286260</v>
      </c>
      <c r="E4" s="248">
        <f t="shared" ref="E4:G5" si="0">D4</f>
        <v>1286260</v>
      </c>
      <c r="F4" s="248">
        <f t="shared" si="0"/>
        <v>1286260</v>
      </c>
      <c r="G4" s="248">
        <f t="shared" ref="G4:T5" si="1">F4</f>
        <v>1286260</v>
      </c>
      <c r="H4" s="248">
        <f t="shared" si="1"/>
        <v>1286260</v>
      </c>
      <c r="I4" s="248">
        <f t="shared" si="1"/>
        <v>1286260</v>
      </c>
      <c r="J4" s="248">
        <f t="shared" si="1"/>
        <v>1286260</v>
      </c>
      <c r="K4" s="248">
        <f t="shared" si="1"/>
        <v>1286260</v>
      </c>
      <c r="L4" s="248">
        <f t="shared" si="1"/>
        <v>1286260</v>
      </c>
      <c r="M4" s="248">
        <f t="shared" si="1"/>
        <v>1286260</v>
      </c>
      <c r="N4" s="248">
        <f t="shared" si="1"/>
        <v>1286260</v>
      </c>
      <c r="O4" s="248">
        <f t="shared" si="1"/>
        <v>1286260</v>
      </c>
      <c r="P4" s="248">
        <f t="shared" si="1"/>
        <v>1286260</v>
      </c>
      <c r="Q4" s="248">
        <f t="shared" si="1"/>
        <v>1286260</v>
      </c>
      <c r="R4" s="248">
        <f t="shared" si="1"/>
        <v>1286260</v>
      </c>
      <c r="S4" s="248">
        <f t="shared" si="1"/>
        <v>1286260</v>
      </c>
      <c r="T4" s="248">
        <f t="shared" si="1"/>
        <v>1286260</v>
      </c>
      <c r="U4" s="248">
        <f t="shared" ref="U4:AH5" si="2">T4</f>
        <v>1286260</v>
      </c>
      <c r="V4" s="248">
        <f t="shared" si="2"/>
        <v>1286260</v>
      </c>
      <c r="W4" s="248">
        <f t="shared" si="2"/>
        <v>1286260</v>
      </c>
      <c r="X4" s="248">
        <f t="shared" si="2"/>
        <v>1286260</v>
      </c>
      <c r="Y4" s="248">
        <f t="shared" si="2"/>
        <v>1286260</v>
      </c>
      <c r="Z4" s="248">
        <f t="shared" si="2"/>
        <v>1286260</v>
      </c>
      <c r="AA4" s="248">
        <f t="shared" si="2"/>
        <v>1286260</v>
      </c>
      <c r="AB4" s="248">
        <f t="shared" si="2"/>
        <v>1286260</v>
      </c>
      <c r="AC4" s="248">
        <f t="shared" si="2"/>
        <v>1286260</v>
      </c>
      <c r="AD4" s="248">
        <f t="shared" si="2"/>
        <v>1286260</v>
      </c>
      <c r="AE4" s="248">
        <f t="shared" si="2"/>
        <v>1286260</v>
      </c>
      <c r="AF4" s="248">
        <f t="shared" si="2"/>
        <v>1286260</v>
      </c>
      <c r="AG4" s="248">
        <f t="shared" si="2"/>
        <v>1286260</v>
      </c>
      <c r="AH4" s="248">
        <f t="shared" si="2"/>
        <v>1286260</v>
      </c>
      <c r="AI4" s="248">
        <f t="shared" ref="AI4:AI5" si="3">AH4</f>
        <v>1286260</v>
      </c>
      <c r="AJ4" s="248">
        <f t="shared" ref="AJ4:AJ5" si="4">AI4</f>
        <v>1286260</v>
      </c>
      <c r="AK4" s="248">
        <f t="shared" ref="AK4:AK5" si="5">AJ4</f>
        <v>1286260</v>
      </c>
      <c r="AL4" s="248">
        <f t="shared" ref="AL4:AL5" si="6">AK4</f>
        <v>1286260</v>
      </c>
      <c r="AM4" s="248">
        <f t="shared" ref="AM4:AM5" si="7">AL4</f>
        <v>1286260</v>
      </c>
    </row>
    <row r="5" spans="1:39" x14ac:dyDescent="0.2">
      <c r="A5" s="484" t="s">
        <v>568</v>
      </c>
      <c r="B5" s="485">
        <f>SUM(E$5:$AH5)</f>
        <v>43475880</v>
      </c>
      <c r="C5" s="248">
        <f>E56</f>
        <v>1286260</v>
      </c>
      <c r="D5" s="248">
        <f>C5</f>
        <v>1286260</v>
      </c>
      <c r="E5" s="248">
        <f t="shared" si="0"/>
        <v>1286260</v>
      </c>
      <c r="F5" s="248">
        <f t="shared" si="0"/>
        <v>1286260</v>
      </c>
      <c r="G5" s="248">
        <f t="shared" si="0"/>
        <v>1286260</v>
      </c>
      <c r="H5" s="248">
        <f>E57</f>
        <v>1467300</v>
      </c>
      <c r="I5" s="248">
        <f t="shared" si="1"/>
        <v>1467300</v>
      </c>
      <c r="J5" s="248">
        <f t="shared" si="1"/>
        <v>1467300</v>
      </c>
      <c r="K5" s="248">
        <f t="shared" si="1"/>
        <v>1467300</v>
      </c>
      <c r="L5" s="248">
        <f t="shared" si="1"/>
        <v>1467300</v>
      </c>
      <c r="M5" s="248">
        <f t="shared" si="1"/>
        <v>1467300</v>
      </c>
      <c r="N5" s="248">
        <f t="shared" si="1"/>
        <v>1467300</v>
      </c>
      <c r="O5" s="248">
        <f t="shared" si="1"/>
        <v>1467300</v>
      </c>
      <c r="P5" s="248">
        <f t="shared" si="1"/>
        <v>1467300</v>
      </c>
      <c r="Q5" s="248">
        <f t="shared" si="1"/>
        <v>1467300</v>
      </c>
      <c r="R5" s="248">
        <f t="shared" si="1"/>
        <v>1467300</v>
      </c>
      <c r="S5" s="248">
        <f t="shared" si="1"/>
        <v>1467300</v>
      </c>
      <c r="T5" s="248">
        <f t="shared" si="1"/>
        <v>1467300</v>
      </c>
      <c r="U5" s="248">
        <f t="shared" si="2"/>
        <v>1467300</v>
      </c>
      <c r="V5" s="248">
        <f t="shared" si="2"/>
        <v>1467300</v>
      </c>
      <c r="W5" s="248">
        <f t="shared" si="2"/>
        <v>1467300</v>
      </c>
      <c r="X5" s="248">
        <f t="shared" si="2"/>
        <v>1467300</v>
      </c>
      <c r="Y5" s="248">
        <f t="shared" si="2"/>
        <v>1467300</v>
      </c>
      <c r="Z5" s="248">
        <f t="shared" si="2"/>
        <v>1467300</v>
      </c>
      <c r="AA5" s="248">
        <f t="shared" si="2"/>
        <v>1467300</v>
      </c>
      <c r="AB5" s="248">
        <f t="shared" si="2"/>
        <v>1467300</v>
      </c>
      <c r="AC5" s="248">
        <f t="shared" si="2"/>
        <v>1467300</v>
      </c>
      <c r="AD5" s="248">
        <f t="shared" si="2"/>
        <v>1467300</v>
      </c>
      <c r="AE5" s="248">
        <f t="shared" si="2"/>
        <v>1467300</v>
      </c>
      <c r="AF5" s="248">
        <f t="shared" si="2"/>
        <v>1467300</v>
      </c>
      <c r="AG5" s="248">
        <f t="shared" si="2"/>
        <v>1467300</v>
      </c>
      <c r="AH5" s="248">
        <f t="shared" si="2"/>
        <v>1467300</v>
      </c>
      <c r="AI5" s="248">
        <f t="shared" si="3"/>
        <v>1467300</v>
      </c>
      <c r="AJ5" s="248">
        <f t="shared" si="4"/>
        <v>1467300</v>
      </c>
      <c r="AK5" s="248">
        <f t="shared" si="5"/>
        <v>1467300</v>
      </c>
      <c r="AL5" s="248">
        <f t="shared" si="6"/>
        <v>1467300</v>
      </c>
      <c r="AM5" s="248">
        <f t="shared" si="7"/>
        <v>1467300</v>
      </c>
    </row>
    <row r="6" spans="1:39" x14ac:dyDescent="0.2">
      <c r="A6" s="484" t="s">
        <v>569</v>
      </c>
      <c r="B6" s="485">
        <f>SUM(E6:AH6)</f>
        <v>4888080</v>
      </c>
      <c r="C6" s="485">
        <f t="shared" ref="C6:AH6" si="8">C5-C4</f>
        <v>0</v>
      </c>
      <c r="D6" s="485">
        <f t="shared" si="8"/>
        <v>0</v>
      </c>
      <c r="E6" s="485">
        <f t="shared" si="8"/>
        <v>0</v>
      </c>
      <c r="F6" s="485">
        <f t="shared" si="8"/>
        <v>0</v>
      </c>
      <c r="G6" s="485">
        <f t="shared" si="8"/>
        <v>0</v>
      </c>
      <c r="H6" s="485">
        <f t="shared" si="8"/>
        <v>181040</v>
      </c>
      <c r="I6" s="485">
        <f t="shared" si="8"/>
        <v>181040</v>
      </c>
      <c r="J6" s="485">
        <f t="shared" si="8"/>
        <v>181040</v>
      </c>
      <c r="K6" s="485">
        <f t="shared" si="8"/>
        <v>181040</v>
      </c>
      <c r="L6" s="485">
        <f t="shared" si="8"/>
        <v>181040</v>
      </c>
      <c r="M6" s="485">
        <f t="shared" si="8"/>
        <v>181040</v>
      </c>
      <c r="N6" s="485">
        <f t="shared" si="8"/>
        <v>181040</v>
      </c>
      <c r="O6" s="485">
        <f t="shared" si="8"/>
        <v>181040</v>
      </c>
      <c r="P6" s="485">
        <f t="shared" si="8"/>
        <v>181040</v>
      </c>
      <c r="Q6" s="485">
        <f t="shared" si="8"/>
        <v>181040</v>
      </c>
      <c r="R6" s="485">
        <f t="shared" si="8"/>
        <v>181040</v>
      </c>
      <c r="S6" s="485">
        <f t="shared" si="8"/>
        <v>181040</v>
      </c>
      <c r="T6" s="485">
        <f t="shared" si="8"/>
        <v>181040</v>
      </c>
      <c r="U6" s="485">
        <f t="shared" si="8"/>
        <v>181040</v>
      </c>
      <c r="V6" s="485">
        <f t="shared" si="8"/>
        <v>181040</v>
      </c>
      <c r="W6" s="485">
        <f t="shared" si="8"/>
        <v>181040</v>
      </c>
      <c r="X6" s="485">
        <f t="shared" si="8"/>
        <v>181040</v>
      </c>
      <c r="Y6" s="485">
        <f t="shared" si="8"/>
        <v>181040</v>
      </c>
      <c r="Z6" s="485">
        <f t="shared" si="8"/>
        <v>181040</v>
      </c>
      <c r="AA6" s="485">
        <f t="shared" si="8"/>
        <v>181040</v>
      </c>
      <c r="AB6" s="485">
        <f t="shared" si="8"/>
        <v>181040</v>
      </c>
      <c r="AC6" s="485">
        <f t="shared" si="8"/>
        <v>181040</v>
      </c>
      <c r="AD6" s="485">
        <f t="shared" si="8"/>
        <v>181040</v>
      </c>
      <c r="AE6" s="485">
        <f t="shared" si="8"/>
        <v>181040</v>
      </c>
      <c r="AF6" s="485">
        <f t="shared" si="8"/>
        <v>181040</v>
      </c>
      <c r="AG6" s="485">
        <f t="shared" si="8"/>
        <v>181040</v>
      </c>
      <c r="AH6" s="485">
        <f t="shared" si="8"/>
        <v>181040</v>
      </c>
      <c r="AI6" s="485">
        <f t="shared" ref="AI6:AM6" si="9">AI5-AI4</f>
        <v>181040</v>
      </c>
      <c r="AJ6" s="485">
        <f t="shared" si="9"/>
        <v>181040</v>
      </c>
      <c r="AK6" s="485">
        <f t="shared" si="9"/>
        <v>181040</v>
      </c>
      <c r="AL6" s="485">
        <f t="shared" si="9"/>
        <v>181040</v>
      </c>
      <c r="AM6" s="485">
        <f t="shared" si="9"/>
        <v>181040</v>
      </c>
    </row>
    <row r="7" spans="1:39" x14ac:dyDescent="0.2">
      <c r="A7" s="791"/>
      <c r="B7" s="791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I7" s="247"/>
      <c r="AL7" s="247"/>
    </row>
    <row r="8" spans="1:39" x14ac:dyDescent="0.2">
      <c r="B8" s="486"/>
      <c r="C8" s="486"/>
      <c r="D8" s="486"/>
      <c r="E8" s="486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6"/>
      <c r="Z8" s="247"/>
      <c r="AA8" s="247"/>
      <c r="AB8" s="247"/>
      <c r="AC8" s="247"/>
      <c r="AD8" s="247"/>
      <c r="AE8" s="247"/>
      <c r="AF8" s="247"/>
      <c r="AI8" s="247"/>
      <c r="AL8" s="247"/>
    </row>
    <row r="9" spans="1:39" x14ac:dyDescent="0.2">
      <c r="A9" s="479" t="s">
        <v>596</v>
      </c>
      <c r="B9" s="481">
        <v>2021</v>
      </c>
      <c r="C9" s="481">
        <v>2022</v>
      </c>
      <c r="D9" s="481">
        <v>2023</v>
      </c>
      <c r="E9" s="486"/>
      <c r="F9" s="486"/>
      <c r="G9" s="486"/>
      <c r="H9" s="486"/>
      <c r="J9" s="486"/>
    </row>
    <row r="10" spans="1:39" x14ac:dyDescent="0.2">
      <c r="A10" s="232" t="s">
        <v>593</v>
      </c>
      <c r="B10" s="248">
        <v>40854000</v>
      </c>
      <c r="C10" s="248">
        <v>56338000</v>
      </c>
      <c r="D10" s="248">
        <v>48301000</v>
      </c>
      <c r="E10" s="486"/>
      <c r="F10" s="487"/>
      <c r="G10" s="486"/>
      <c r="H10" s="486"/>
      <c r="J10" s="486"/>
    </row>
    <row r="11" spans="1:39" x14ac:dyDescent="0.2">
      <c r="A11" s="232" t="s">
        <v>592</v>
      </c>
      <c r="B11" s="248">
        <v>33809000</v>
      </c>
      <c r="C11" s="248">
        <v>50393000</v>
      </c>
      <c r="D11" s="248">
        <v>51263000</v>
      </c>
      <c r="E11" s="486"/>
      <c r="F11" s="488"/>
      <c r="G11" s="487"/>
      <c r="H11" s="486"/>
      <c r="J11" s="486"/>
    </row>
    <row r="12" spans="1:39" x14ac:dyDescent="0.2">
      <c r="A12" s="232" t="s">
        <v>607</v>
      </c>
      <c r="B12" s="248">
        <v>97470000</v>
      </c>
      <c r="C12" s="248">
        <v>103645000</v>
      </c>
      <c r="D12" s="248">
        <v>114266000</v>
      </c>
      <c r="E12" s="489"/>
      <c r="F12" s="488"/>
      <c r="G12" s="487"/>
      <c r="H12" s="486"/>
      <c r="J12" s="486"/>
    </row>
    <row r="13" spans="1:39" x14ac:dyDescent="0.2">
      <c r="A13" s="232" t="s">
        <v>597</v>
      </c>
      <c r="B13" s="248">
        <v>8625000</v>
      </c>
      <c r="C13" s="248">
        <v>8023000</v>
      </c>
      <c r="D13" s="248">
        <v>9780000</v>
      </c>
      <c r="E13" s="486"/>
      <c r="F13" s="490"/>
      <c r="G13" s="486"/>
      <c r="H13" s="486"/>
      <c r="J13" s="486"/>
    </row>
    <row r="14" spans="1:39" x14ac:dyDescent="0.2">
      <c r="A14" s="232" t="s">
        <v>594</v>
      </c>
      <c r="B14" s="248">
        <v>13636000</v>
      </c>
      <c r="C14" s="248">
        <v>16032000</v>
      </c>
      <c r="D14" s="248">
        <v>27085000</v>
      </c>
      <c r="E14" s="486"/>
      <c r="F14" s="490"/>
      <c r="G14" s="486"/>
      <c r="H14" s="486"/>
      <c r="J14" s="486"/>
    </row>
    <row r="15" spans="1:39" x14ac:dyDescent="0.2">
      <c r="A15" s="232" t="s">
        <v>595</v>
      </c>
      <c r="B15" s="248">
        <v>8234000</v>
      </c>
      <c r="C15" s="248">
        <v>8038000</v>
      </c>
      <c r="D15" s="248">
        <v>10027000</v>
      </c>
      <c r="E15" s="486"/>
      <c r="F15" s="487"/>
      <c r="G15" s="486"/>
      <c r="H15" s="486"/>
      <c r="J15" s="486"/>
      <c r="K15" s="486"/>
      <c r="L15" s="486"/>
      <c r="M15" s="486"/>
      <c r="N15" s="486"/>
    </row>
    <row r="16" spans="1:39" x14ac:dyDescent="0.2">
      <c r="A16" s="232" t="s">
        <v>598</v>
      </c>
      <c r="B16" s="248">
        <v>796000</v>
      </c>
      <c r="C16" s="248">
        <v>869000</v>
      </c>
      <c r="D16" s="248">
        <v>760000</v>
      </c>
      <c r="E16" s="486"/>
      <c r="F16" s="487"/>
      <c r="G16" s="486"/>
      <c r="H16" s="486"/>
      <c r="J16" s="486"/>
      <c r="K16" s="486"/>
      <c r="L16" s="486"/>
      <c r="M16" s="486"/>
      <c r="N16" s="486"/>
    </row>
    <row r="17" spans="1:12" x14ac:dyDescent="0.2">
      <c r="A17" s="232" t="s">
        <v>57</v>
      </c>
      <c r="B17" s="491">
        <f>SUM(B10:B16)</f>
        <v>203424000</v>
      </c>
      <c r="C17" s="491">
        <f>SUM(C10:C16)</f>
        <v>243338000</v>
      </c>
      <c r="D17" s="491">
        <f>SUM(D10:D16)</f>
        <v>261482000</v>
      </c>
      <c r="E17" s="486"/>
      <c r="F17" s="486"/>
      <c r="G17" s="486"/>
      <c r="H17" s="486"/>
      <c r="J17" s="486"/>
    </row>
    <row r="18" spans="1:12" x14ac:dyDescent="0.2">
      <c r="A18" s="232" t="s">
        <v>591</v>
      </c>
      <c r="B18" s="248">
        <v>50332000</v>
      </c>
      <c r="C18" s="248">
        <v>53242000</v>
      </c>
      <c r="D18" s="248">
        <v>56623000</v>
      </c>
      <c r="E18" s="486"/>
      <c r="F18" s="487"/>
      <c r="G18" s="487"/>
      <c r="H18" s="487"/>
      <c r="J18" s="486"/>
    </row>
    <row r="19" spans="1:12" x14ac:dyDescent="0.2">
      <c r="A19" s="232" t="s">
        <v>608</v>
      </c>
      <c r="B19" s="492">
        <f>SUM(B17:B18)</f>
        <v>253756000</v>
      </c>
      <c r="C19" s="492">
        <f>SUM(C17:C18)</f>
        <v>296580000</v>
      </c>
      <c r="D19" s="492">
        <f>SUM(D17:D18)</f>
        <v>318105000</v>
      </c>
      <c r="E19" s="486"/>
      <c r="F19" s="487"/>
      <c r="G19" s="487"/>
      <c r="H19" s="487"/>
      <c r="J19" s="486"/>
    </row>
    <row r="20" spans="1:12" x14ac:dyDescent="0.2">
      <c r="A20" s="257" t="s">
        <v>570</v>
      </c>
      <c r="H20" s="488"/>
      <c r="I20" s="487"/>
      <c r="J20" s="487"/>
      <c r="L20" s="486"/>
    </row>
    <row r="21" spans="1:12" x14ac:dyDescent="0.2">
      <c r="H21" s="488"/>
      <c r="I21" s="487"/>
      <c r="J21" s="487"/>
      <c r="L21" s="486"/>
    </row>
    <row r="22" spans="1:12" x14ac:dyDescent="0.2">
      <c r="A22" s="235" t="s">
        <v>571</v>
      </c>
      <c r="B22" s="481">
        <v>2018</v>
      </c>
      <c r="C22" s="481">
        <v>2019</v>
      </c>
      <c r="D22" s="481">
        <v>2020</v>
      </c>
      <c r="E22" s="481">
        <v>2021</v>
      </c>
      <c r="F22" s="481">
        <v>2022</v>
      </c>
      <c r="G22" s="481">
        <v>2023</v>
      </c>
      <c r="H22" s="488"/>
      <c r="I22" s="487"/>
      <c r="J22" s="487"/>
    </row>
    <row r="23" spans="1:12" x14ac:dyDescent="0.2">
      <c r="A23" s="234" t="s">
        <v>572</v>
      </c>
      <c r="B23" s="248">
        <v>33650000</v>
      </c>
      <c r="C23" s="248">
        <v>34500000</v>
      </c>
      <c r="D23" s="248">
        <v>32450000</v>
      </c>
      <c r="E23" s="493">
        <v>34070000</v>
      </c>
      <c r="F23" s="248">
        <v>36680000</v>
      </c>
      <c r="G23" s="248">
        <v>38830000</v>
      </c>
      <c r="I23" s="486"/>
      <c r="J23" s="494"/>
      <c r="K23" s="495"/>
    </row>
    <row r="24" spans="1:12" x14ac:dyDescent="0.2">
      <c r="A24" s="257" t="s">
        <v>570</v>
      </c>
      <c r="B24" s="247"/>
      <c r="C24" s="247"/>
      <c r="D24" s="247"/>
      <c r="E24" s="247"/>
      <c r="F24" s="247"/>
      <c r="G24" s="247"/>
      <c r="I24" s="486"/>
      <c r="J24" s="494"/>
      <c r="K24" s="495"/>
    </row>
    <row r="25" spans="1:12" x14ac:dyDescent="0.2">
      <c r="I25" s="486"/>
      <c r="J25" s="494"/>
      <c r="K25" s="495"/>
    </row>
    <row r="26" spans="1:12" x14ac:dyDescent="0.2">
      <c r="A26" s="479" t="s">
        <v>609</v>
      </c>
      <c r="B26" s="481">
        <v>2021</v>
      </c>
      <c r="C26" s="481">
        <v>2022</v>
      </c>
      <c r="D26" s="481">
        <v>2023</v>
      </c>
      <c r="G26" s="486"/>
      <c r="H26" s="494"/>
      <c r="I26" s="495"/>
    </row>
    <row r="27" spans="1:12" x14ac:dyDescent="0.2">
      <c r="A27" s="232" t="str">
        <f t="shared" ref="A27:A33" si="10">A10</f>
        <v>Spotreba materiálu</v>
      </c>
      <c r="B27" s="496">
        <f>B10/$E$23</f>
        <v>1.1991194599354271</v>
      </c>
      <c r="C27" s="496">
        <f>C10/$F$23</f>
        <v>1.5359323882224645</v>
      </c>
      <c r="D27" s="496">
        <f t="shared" ref="D27" si="11">D10/$G$23</f>
        <v>1.2439093484419264</v>
      </c>
      <c r="G27" s="486"/>
      <c r="H27" s="494"/>
      <c r="I27" s="495"/>
    </row>
    <row r="28" spans="1:12" x14ac:dyDescent="0.2">
      <c r="A28" s="232" t="str">
        <f t="shared" si="10"/>
        <v>Spotreba energie</v>
      </c>
      <c r="B28" s="496">
        <f t="shared" ref="B28:B33" si="12">B11/$E$23</f>
        <v>0.99233930143821547</v>
      </c>
      <c r="C28" s="496">
        <f t="shared" ref="C28:C33" si="13">C11/$F$23</f>
        <v>1.373854961832061</v>
      </c>
      <c r="D28" s="496">
        <f t="shared" ref="D28" si="14">D11/$G$23</f>
        <v>1.320190574298223</v>
      </c>
      <c r="G28" s="486"/>
      <c r="H28" s="494"/>
      <c r="I28" s="495"/>
    </row>
    <row r="29" spans="1:12" x14ac:dyDescent="0.2">
      <c r="A29" s="232" t="str">
        <f t="shared" si="10"/>
        <v>Osobné výdavky</v>
      </c>
      <c r="B29" s="496">
        <f t="shared" si="12"/>
        <v>2.8608746697974756</v>
      </c>
      <c r="C29" s="496">
        <f t="shared" si="13"/>
        <v>2.8256543075245366</v>
      </c>
      <c r="D29" s="496">
        <f t="shared" ref="D29" si="15">D12/$G$23</f>
        <v>2.9427246973989183</v>
      </c>
      <c r="G29" s="486"/>
      <c r="H29" s="494"/>
      <c r="I29" s="495"/>
    </row>
    <row r="30" spans="1:12" x14ac:dyDescent="0.2">
      <c r="A30" s="232" t="str">
        <f t="shared" si="10"/>
        <v>IT služby</v>
      </c>
      <c r="B30" s="496">
        <f t="shared" si="12"/>
        <v>0.2531552685647197</v>
      </c>
      <c r="C30" s="496">
        <f t="shared" si="13"/>
        <v>0.21872955288985824</v>
      </c>
      <c r="D30" s="496">
        <f t="shared" ref="D30" si="16">D13/$G$23</f>
        <v>0.25186711305691478</v>
      </c>
      <c r="G30" s="486"/>
      <c r="H30" s="494"/>
      <c r="I30" s="495"/>
    </row>
    <row r="31" spans="1:12" x14ac:dyDescent="0.2">
      <c r="A31" s="232" t="str">
        <f t="shared" si="10"/>
        <v>Opravy a údržiavanie</v>
      </c>
      <c r="B31" s="496">
        <f t="shared" si="12"/>
        <v>0.40023481068388611</v>
      </c>
      <c r="C31" s="496">
        <f t="shared" si="13"/>
        <v>0.43707742639040348</v>
      </c>
      <c r="D31" s="496">
        <f t="shared" ref="D31" si="17">D14/$G$23</f>
        <v>0.69752768477980942</v>
      </c>
      <c r="G31" s="486"/>
      <c r="H31" s="494"/>
      <c r="I31" s="495"/>
    </row>
    <row r="32" spans="1:12" x14ac:dyDescent="0.2">
      <c r="A32" s="232" t="str">
        <f t="shared" si="10"/>
        <v>Čistenie ŽKV</v>
      </c>
      <c r="B32" s="496">
        <f t="shared" si="12"/>
        <v>0.24167889638978574</v>
      </c>
      <c r="C32" s="496">
        <f t="shared" si="13"/>
        <v>0.21913849509269356</v>
      </c>
      <c r="D32" s="496">
        <f t="shared" ref="D32" si="18">D15/$G$23</f>
        <v>0.25822817409219678</v>
      </c>
      <c r="G32" s="486"/>
      <c r="H32" s="494"/>
      <c r="I32" s="495"/>
    </row>
    <row r="33" spans="1:11" x14ac:dyDescent="0.2">
      <c r="A33" s="232" t="str">
        <f t="shared" si="10"/>
        <v>Posun vozňov</v>
      </c>
      <c r="B33" s="496">
        <f t="shared" si="12"/>
        <v>2.3363663046668624E-2</v>
      </c>
      <c r="C33" s="496">
        <f t="shared" si="13"/>
        <v>2.3691384950926937E-2</v>
      </c>
      <c r="D33" s="496">
        <f t="shared" ref="D33" si="19">D16/$G$23</f>
        <v>1.9572495493175381E-2</v>
      </c>
      <c r="G33" s="486"/>
      <c r="H33" s="494"/>
      <c r="I33" s="495"/>
    </row>
    <row r="34" spans="1:11" x14ac:dyDescent="0.2">
      <c r="A34" s="232" t="str">
        <f>A17</f>
        <v>Prevádzkové výdavky</v>
      </c>
      <c r="B34" s="497">
        <f>SUM(B27:B33)</f>
        <v>5.9707660698561789</v>
      </c>
      <c r="C34" s="497">
        <f t="shared" ref="C34:D34" si="20">SUM(C27:C33)</f>
        <v>6.6340785169029433</v>
      </c>
      <c r="D34" s="497">
        <f t="shared" si="20"/>
        <v>6.7340200875611638</v>
      </c>
      <c r="G34" s="486"/>
      <c r="H34" s="494"/>
      <c r="I34" s="495"/>
    </row>
    <row r="35" spans="1:11" x14ac:dyDescent="0.2">
      <c r="A35" s="232" t="str">
        <f>A18</f>
        <v>Poplatok za použitie dopravnej cestyy</v>
      </c>
      <c r="B35" s="496">
        <f>B18/$E$23</f>
        <v>1.4773114176695039</v>
      </c>
      <c r="C35" s="496">
        <f>C18/$F$23</f>
        <v>1.4515267175572519</v>
      </c>
      <c r="D35" s="496">
        <f t="shared" ref="D35" si="21">D18/$G$23</f>
        <v>1.4582281740921967</v>
      </c>
      <c r="G35" s="486"/>
      <c r="H35" s="494"/>
      <c r="I35" s="495"/>
    </row>
    <row r="36" spans="1:11" x14ac:dyDescent="0.2">
      <c r="A36" s="232" t="str">
        <f>A19</f>
        <v>Prevádzkové výdavky spolu</v>
      </c>
      <c r="B36" s="497">
        <f>B34+B35</f>
        <v>7.4480774875256825</v>
      </c>
      <c r="C36" s="497">
        <f t="shared" ref="C36:D36" si="22">C34+C35</f>
        <v>8.0856052344601945</v>
      </c>
      <c r="D36" s="497">
        <f t="shared" si="22"/>
        <v>8.1922482616533614</v>
      </c>
    </row>
    <row r="37" spans="1:11" x14ac:dyDescent="0.2">
      <c r="H37" s="488"/>
      <c r="J37" s="247"/>
    </row>
    <row r="38" spans="1:11" x14ac:dyDescent="0.2">
      <c r="H38" s="488"/>
    </row>
    <row r="39" spans="1:11" x14ac:dyDescent="0.2">
      <c r="H39" s="488"/>
    </row>
    <row r="40" spans="1:11" ht="28.5" customHeight="1" x14ac:dyDescent="0.2">
      <c r="A40" s="741" t="s">
        <v>610</v>
      </c>
      <c r="B40" s="498" t="s">
        <v>573</v>
      </c>
      <c r="C40" s="498" t="s">
        <v>573</v>
      </c>
      <c r="I40" s="488"/>
      <c r="K40" s="488"/>
    </row>
    <row r="41" spans="1:11" x14ac:dyDescent="0.2">
      <c r="A41" s="742"/>
      <c r="B41" s="499" t="s">
        <v>590</v>
      </c>
      <c r="C41" s="499" t="s">
        <v>589</v>
      </c>
      <c r="I41" s="488"/>
    </row>
    <row r="42" spans="1:11" x14ac:dyDescent="0.2">
      <c r="A42" s="232" t="str">
        <f t="shared" ref="A42:A51" si="23">A27</f>
        <v>Spotreba materiálu</v>
      </c>
      <c r="B42" s="496">
        <f>C27/B27</f>
        <v>1.2808835479203839</v>
      </c>
      <c r="C42" s="496">
        <f>D27/C27</f>
        <v>0.80987246442631722</v>
      </c>
      <c r="I42" s="488"/>
    </row>
    <row r="43" spans="1:11" x14ac:dyDescent="0.2">
      <c r="A43" s="232" t="str">
        <f t="shared" si="23"/>
        <v>Spotreba energie</v>
      </c>
      <c r="B43" s="496">
        <f t="shared" ref="B43:C48" si="24">C28/B28</f>
        <v>1.3844608994533503</v>
      </c>
      <c r="C43" s="496">
        <f t="shared" si="24"/>
        <v>0.96093882613178061</v>
      </c>
      <c r="I43" s="488"/>
    </row>
    <row r="44" spans="1:11" x14ac:dyDescent="0.2">
      <c r="A44" s="232" t="str">
        <f t="shared" si="23"/>
        <v>Osobné výdavky</v>
      </c>
      <c r="B44" s="496">
        <f t="shared" si="24"/>
        <v>0.98768895308670324</v>
      </c>
      <c r="C44" s="496">
        <f t="shared" si="24"/>
        <v>1.0414312499454128</v>
      </c>
    </row>
    <row r="45" spans="1:11" x14ac:dyDescent="0.2">
      <c r="A45" s="232" t="str">
        <f t="shared" si="23"/>
        <v>IT služby</v>
      </c>
      <c r="B45" s="496">
        <f t="shared" si="24"/>
        <v>0.8640134338501414</v>
      </c>
      <c r="C45" s="496">
        <f t="shared" si="24"/>
        <v>1.1515001504334581</v>
      </c>
    </row>
    <row r="46" spans="1:11" x14ac:dyDescent="0.2">
      <c r="A46" s="232" t="str">
        <f t="shared" si="23"/>
        <v>Opravy a údržiavanie</v>
      </c>
      <c r="B46" s="496">
        <f t="shared" si="24"/>
        <v>1.0920525019889298</v>
      </c>
      <c r="C46" s="496">
        <f t="shared" si="24"/>
        <v>1.5958904364847437</v>
      </c>
    </row>
    <row r="47" spans="1:11" x14ac:dyDescent="0.2">
      <c r="A47" s="232" t="str">
        <f t="shared" si="23"/>
        <v>Čistenie ŽKV</v>
      </c>
      <c r="B47" s="496">
        <f t="shared" si="24"/>
        <v>0.90673409373428104</v>
      </c>
      <c r="C47" s="496">
        <f t="shared" si="24"/>
        <v>1.1783788785396589</v>
      </c>
      <c r="I47" s="488"/>
    </row>
    <row r="48" spans="1:11" x14ac:dyDescent="0.2">
      <c r="A48" s="232" t="str">
        <f t="shared" si="23"/>
        <v>Posun vozňov</v>
      </c>
      <c r="B48" s="496">
        <f t="shared" si="24"/>
        <v>1.0140269915553779</v>
      </c>
      <c r="C48" s="496">
        <f t="shared" si="24"/>
        <v>0.82614399849214382</v>
      </c>
      <c r="I48" s="488"/>
    </row>
    <row r="49" spans="1:39" x14ac:dyDescent="0.2">
      <c r="A49" s="234" t="str">
        <f t="shared" si="23"/>
        <v>Prevádzkové výdavky</v>
      </c>
      <c r="B49" s="500">
        <f t="shared" ref="B49:C49" si="25">C34/B34</f>
        <v>1.1110933570811865</v>
      </c>
      <c r="C49" s="500">
        <f t="shared" si="25"/>
        <v>1.0150648760643366</v>
      </c>
      <c r="I49" s="488"/>
    </row>
    <row r="50" spans="1:39" x14ac:dyDescent="0.2">
      <c r="A50" s="232" t="str">
        <f t="shared" si="23"/>
        <v>Poplatok za použitie dopravnej cestyy</v>
      </c>
      <c r="B50" s="496">
        <f t="shared" ref="B50:C50" si="26">C35/B35</f>
        <v>0.98254619858490766</v>
      </c>
      <c r="C50" s="496">
        <f t="shared" si="26"/>
        <v>1.004616833058521</v>
      </c>
    </row>
    <row r="51" spans="1:39" x14ac:dyDescent="0.2">
      <c r="A51" s="234" t="str">
        <f t="shared" si="23"/>
        <v>Prevádzkové výdavky spolu</v>
      </c>
      <c r="B51" s="500">
        <f t="shared" ref="B51:C51" si="27">C36/B36</f>
        <v>1.0855962827994563</v>
      </c>
      <c r="C51" s="500">
        <f t="shared" si="27"/>
        <v>1.0131892448494348</v>
      </c>
    </row>
    <row r="52" spans="1:39" x14ac:dyDescent="0.2">
      <c r="A52" s="257" t="s">
        <v>574</v>
      </c>
    </row>
    <row r="53" spans="1:39" x14ac:dyDescent="0.2">
      <c r="A53" s="257"/>
    </row>
    <row r="54" spans="1:39" ht="12" thickBot="1" x14ac:dyDescent="0.25">
      <c r="A54" s="501"/>
      <c r="B54" s="501"/>
      <c r="C54" s="501"/>
      <c r="D54" s="501"/>
      <c r="E54" s="501"/>
    </row>
    <row r="55" spans="1:39" x14ac:dyDescent="0.2">
      <c r="A55" s="502"/>
      <c r="B55" s="503" t="s">
        <v>575</v>
      </c>
      <c r="C55" s="503" t="s">
        <v>576</v>
      </c>
      <c r="D55" s="503" t="s">
        <v>577</v>
      </c>
      <c r="E55" s="504" t="s">
        <v>578</v>
      </c>
      <c r="M55" s="247"/>
    </row>
    <row r="56" spans="1:39" x14ac:dyDescent="0.2">
      <c r="A56" s="505" t="s">
        <v>579</v>
      </c>
      <c r="B56" s="506">
        <v>4</v>
      </c>
      <c r="C56" s="248">
        <v>881</v>
      </c>
      <c r="D56" s="507">
        <f>C56*365</f>
        <v>321565</v>
      </c>
      <c r="E56" s="508">
        <f>4*D56</f>
        <v>1286260</v>
      </c>
      <c r="F56" s="509"/>
      <c r="M56" s="247"/>
    </row>
    <row r="57" spans="1:39" ht="12" thickBot="1" x14ac:dyDescent="0.25">
      <c r="A57" s="510" t="s">
        <v>655</v>
      </c>
      <c r="B57" s="511">
        <v>4</v>
      </c>
      <c r="C57" s="680">
        <v>1005</v>
      </c>
      <c r="D57" s="512">
        <f>C57*365</f>
        <v>366825</v>
      </c>
      <c r="E57" s="513">
        <f>4*D57</f>
        <v>1467300</v>
      </c>
    </row>
    <row r="58" spans="1:39" x14ac:dyDescent="0.2">
      <c r="A58" s="233" t="s">
        <v>654</v>
      </c>
    </row>
    <row r="61" spans="1:39" s="515" customFormat="1" x14ac:dyDescent="0.2">
      <c r="A61" s="514" t="s">
        <v>611</v>
      </c>
      <c r="B61" s="499"/>
      <c r="C61" s="499">
        <v>2023</v>
      </c>
      <c r="D61" s="499">
        <v>2024</v>
      </c>
      <c r="E61" s="499">
        <v>2025</v>
      </c>
      <c r="F61" s="499">
        <v>2026</v>
      </c>
      <c r="G61" s="499">
        <v>2027</v>
      </c>
      <c r="H61" s="499">
        <v>2028</v>
      </c>
      <c r="I61" s="499">
        <v>2029</v>
      </c>
      <c r="J61" s="499">
        <v>2030</v>
      </c>
      <c r="K61" s="499">
        <v>2031</v>
      </c>
      <c r="L61" s="499">
        <v>2032</v>
      </c>
      <c r="M61" s="499">
        <v>2033</v>
      </c>
      <c r="N61" s="499">
        <v>2034</v>
      </c>
      <c r="O61" s="499">
        <v>2035</v>
      </c>
      <c r="P61" s="499">
        <v>2036</v>
      </c>
      <c r="Q61" s="499">
        <v>2037</v>
      </c>
      <c r="R61" s="499">
        <v>2038</v>
      </c>
      <c r="S61" s="499">
        <v>2039</v>
      </c>
      <c r="T61" s="499">
        <v>2040</v>
      </c>
      <c r="U61" s="499">
        <v>2041</v>
      </c>
      <c r="V61" s="499">
        <v>2042</v>
      </c>
      <c r="W61" s="499">
        <v>2043</v>
      </c>
      <c r="X61" s="499">
        <v>2044</v>
      </c>
      <c r="Y61" s="499">
        <v>2045</v>
      </c>
      <c r="Z61" s="499">
        <v>2046</v>
      </c>
      <c r="AA61" s="499">
        <v>2047</v>
      </c>
      <c r="AB61" s="499">
        <v>2048</v>
      </c>
      <c r="AC61" s="499">
        <v>2049</v>
      </c>
      <c r="AD61" s="499">
        <v>2050</v>
      </c>
      <c r="AE61" s="499">
        <v>2051</v>
      </c>
      <c r="AF61" s="499">
        <v>2052</v>
      </c>
      <c r="AG61" s="499">
        <v>2053</v>
      </c>
      <c r="AH61" s="499">
        <v>2054</v>
      </c>
      <c r="AI61" s="499">
        <v>2055</v>
      </c>
      <c r="AJ61" s="499">
        <v>2056</v>
      </c>
      <c r="AK61" s="499">
        <v>2057</v>
      </c>
      <c r="AL61" s="499">
        <v>2058</v>
      </c>
      <c r="AM61" s="499">
        <v>2059</v>
      </c>
    </row>
    <row r="62" spans="1:39" x14ac:dyDescent="0.2">
      <c r="A62" s="516" t="s">
        <v>605</v>
      </c>
      <c r="C62" s="517">
        <v>1</v>
      </c>
      <c r="D62" s="517">
        <v>1.01</v>
      </c>
      <c r="E62" s="517">
        <v>1.01</v>
      </c>
      <c r="F62" s="517">
        <v>1.01</v>
      </c>
      <c r="G62" s="517">
        <v>1.01</v>
      </c>
      <c r="H62" s="517">
        <v>1.01</v>
      </c>
      <c r="I62" s="517">
        <v>1.01</v>
      </c>
      <c r="J62" s="517">
        <v>1.01</v>
      </c>
      <c r="K62" s="517">
        <v>1.01</v>
      </c>
      <c r="L62" s="517">
        <v>1.01</v>
      </c>
      <c r="M62" s="517">
        <v>1.01</v>
      </c>
      <c r="N62" s="517">
        <v>1.01</v>
      </c>
      <c r="O62" s="517">
        <v>1.01</v>
      </c>
      <c r="P62" s="517">
        <v>1.01</v>
      </c>
      <c r="Q62" s="517">
        <v>1.01</v>
      </c>
      <c r="R62" s="517">
        <v>1.01</v>
      </c>
      <c r="S62" s="517">
        <v>1.01</v>
      </c>
      <c r="T62" s="517">
        <v>1.01</v>
      </c>
      <c r="U62" s="517">
        <v>1.01</v>
      </c>
      <c r="V62" s="517">
        <v>1.01</v>
      </c>
      <c r="W62" s="517">
        <v>1.01</v>
      </c>
      <c r="X62" s="517">
        <v>1.01</v>
      </c>
      <c r="Y62" s="517">
        <v>1.01</v>
      </c>
      <c r="Z62" s="517">
        <v>1.01</v>
      </c>
      <c r="AA62" s="517">
        <v>1.01</v>
      </c>
      <c r="AB62" s="517">
        <v>1.01</v>
      </c>
      <c r="AC62" s="517">
        <v>1.01</v>
      </c>
      <c r="AD62" s="517">
        <v>1.01</v>
      </c>
      <c r="AE62" s="517">
        <v>1.01</v>
      </c>
      <c r="AF62" s="517">
        <v>1.01</v>
      </c>
      <c r="AG62" s="517">
        <v>1.01</v>
      </c>
      <c r="AH62" s="517">
        <v>1.01</v>
      </c>
      <c r="AI62" s="517">
        <v>1.01</v>
      </c>
      <c r="AJ62" s="517">
        <v>1.01</v>
      </c>
      <c r="AK62" s="517">
        <v>1.01</v>
      </c>
      <c r="AL62" s="517">
        <v>1.01</v>
      </c>
      <c r="AM62" s="517">
        <v>1.01</v>
      </c>
    </row>
    <row r="63" spans="1:39" x14ac:dyDescent="0.2">
      <c r="A63" s="518" t="s">
        <v>580</v>
      </c>
      <c r="C63" s="517">
        <v>1</v>
      </c>
      <c r="D63" s="519">
        <v>1.01</v>
      </c>
      <c r="E63" s="519">
        <v>1.01</v>
      </c>
      <c r="F63" s="519">
        <v>1.01</v>
      </c>
      <c r="G63" s="519">
        <v>1.01</v>
      </c>
      <c r="H63" s="519">
        <v>1.014</v>
      </c>
      <c r="I63" s="519">
        <v>1.014</v>
      </c>
      <c r="J63" s="519">
        <v>1.014</v>
      </c>
      <c r="K63" s="519">
        <v>1.014</v>
      </c>
      <c r="L63" s="519">
        <v>1.014</v>
      </c>
      <c r="M63" s="519">
        <v>1.014</v>
      </c>
      <c r="N63" s="519">
        <v>1.014</v>
      </c>
      <c r="O63" s="519">
        <v>1.014</v>
      </c>
      <c r="P63" s="519">
        <v>1.014</v>
      </c>
      <c r="Q63" s="519">
        <v>1.014</v>
      </c>
      <c r="R63" s="519">
        <v>1.014</v>
      </c>
      <c r="S63" s="519">
        <v>1.014</v>
      </c>
      <c r="T63" s="519">
        <v>1.014</v>
      </c>
      <c r="U63" s="519">
        <v>1.014</v>
      </c>
      <c r="V63" s="519">
        <v>1.014</v>
      </c>
      <c r="W63" s="519">
        <v>1.014</v>
      </c>
      <c r="X63" s="519">
        <v>1.014</v>
      </c>
      <c r="Y63" s="519">
        <v>1.014</v>
      </c>
      <c r="Z63" s="519">
        <v>1.014</v>
      </c>
      <c r="AA63" s="519">
        <v>1.014</v>
      </c>
      <c r="AB63" s="519">
        <v>1.014</v>
      </c>
      <c r="AC63" s="519">
        <v>1.014</v>
      </c>
      <c r="AD63" s="519">
        <v>1.014</v>
      </c>
      <c r="AE63" s="519">
        <v>1.014</v>
      </c>
      <c r="AF63" s="519">
        <v>1.014</v>
      </c>
      <c r="AG63" s="519">
        <v>1.014</v>
      </c>
      <c r="AH63" s="519">
        <v>1.014</v>
      </c>
      <c r="AI63" s="519">
        <v>1.014</v>
      </c>
      <c r="AJ63" s="519">
        <v>1.014</v>
      </c>
      <c r="AK63" s="519">
        <v>1.014</v>
      </c>
      <c r="AL63" s="519">
        <v>1.014</v>
      </c>
      <c r="AM63" s="519">
        <v>1.014</v>
      </c>
    </row>
    <row r="64" spans="1:39" x14ac:dyDescent="0.2">
      <c r="A64" s="516"/>
      <c r="C64" s="517"/>
      <c r="D64" s="517"/>
      <c r="E64" s="517"/>
      <c r="F64" s="517"/>
      <c r="G64" s="517"/>
      <c r="H64" s="517"/>
      <c r="I64" s="517"/>
      <c r="J64" s="517"/>
      <c r="K64" s="517"/>
      <c r="L64" s="517"/>
      <c r="M64" s="517"/>
      <c r="N64" s="517"/>
      <c r="O64" s="517"/>
      <c r="P64" s="517"/>
      <c r="Q64" s="517"/>
      <c r="R64" s="517"/>
      <c r="S64" s="517"/>
      <c r="T64" s="517"/>
      <c r="U64" s="517"/>
      <c r="V64" s="517"/>
      <c r="W64" s="517"/>
      <c r="X64" s="517"/>
      <c r="Y64" s="517"/>
      <c r="Z64" s="517"/>
      <c r="AA64" s="517"/>
      <c r="AB64" s="517"/>
      <c r="AC64" s="517"/>
      <c r="AD64" s="517"/>
      <c r="AE64" s="517"/>
      <c r="AF64" s="517"/>
      <c r="AG64" s="517"/>
      <c r="AH64" s="517"/>
      <c r="AI64" s="517"/>
      <c r="AJ64" s="517"/>
      <c r="AK64" s="517"/>
      <c r="AL64" s="517"/>
      <c r="AM64" s="517"/>
    </row>
    <row r="65" spans="1:39" x14ac:dyDescent="0.2">
      <c r="A65" s="516" t="s">
        <v>606</v>
      </c>
      <c r="C65" s="520">
        <v>1</v>
      </c>
      <c r="D65" s="520">
        <v>1.0049999999999999</v>
      </c>
      <c r="E65" s="520">
        <v>1.0049999999999999</v>
      </c>
      <c r="F65" s="520">
        <v>1.0049999999999999</v>
      </c>
      <c r="G65" s="520">
        <v>1.0049999999999999</v>
      </c>
      <c r="H65" s="520">
        <v>1.0049999999999999</v>
      </c>
      <c r="I65" s="520">
        <v>1.0049999999999999</v>
      </c>
      <c r="J65" s="520">
        <v>1.0049999999999999</v>
      </c>
      <c r="K65" s="520">
        <v>1.0049999999999999</v>
      </c>
      <c r="L65" s="520">
        <v>1.0049999999999999</v>
      </c>
      <c r="M65" s="520">
        <v>1.0049999999999999</v>
      </c>
      <c r="N65" s="520">
        <v>1.0049999999999999</v>
      </c>
      <c r="O65" s="520">
        <v>1.0049999999999999</v>
      </c>
      <c r="P65" s="520">
        <v>1.0049999999999999</v>
      </c>
      <c r="Q65" s="520">
        <v>1.0049999999999999</v>
      </c>
      <c r="R65" s="520">
        <v>1.0049999999999999</v>
      </c>
      <c r="S65" s="520">
        <v>1.0049999999999999</v>
      </c>
      <c r="T65" s="520">
        <v>1.0049999999999999</v>
      </c>
      <c r="U65" s="520">
        <v>1.0049999999999999</v>
      </c>
      <c r="V65" s="520">
        <v>1.0049999999999999</v>
      </c>
      <c r="W65" s="520">
        <v>1.0049999999999999</v>
      </c>
      <c r="X65" s="520">
        <v>1.0049999999999999</v>
      </c>
      <c r="Y65" s="520">
        <v>1.0049999999999999</v>
      </c>
      <c r="Z65" s="520">
        <v>1.0049999999999999</v>
      </c>
      <c r="AA65" s="520">
        <v>1.0049999999999999</v>
      </c>
      <c r="AB65" s="520">
        <v>1.0049999999999999</v>
      </c>
      <c r="AC65" s="520">
        <v>1.0049999999999999</v>
      </c>
      <c r="AD65" s="520">
        <v>1.0049999999999999</v>
      </c>
      <c r="AE65" s="520">
        <v>1.0049999999999999</v>
      </c>
      <c r="AF65" s="520">
        <v>1.0049999999999999</v>
      </c>
      <c r="AG65" s="520">
        <v>1.0049999999999999</v>
      </c>
      <c r="AH65" s="520">
        <v>1.0049999999999999</v>
      </c>
      <c r="AI65" s="520">
        <v>1.0049999999999999</v>
      </c>
      <c r="AJ65" s="520">
        <v>1.0049999999999999</v>
      </c>
      <c r="AK65" s="520">
        <v>1.0049999999999999</v>
      </c>
      <c r="AL65" s="520">
        <v>1.0049999999999999</v>
      </c>
      <c r="AM65" s="520">
        <v>1.0049999999999999</v>
      </c>
    </row>
    <row r="66" spans="1:39" x14ac:dyDescent="0.2">
      <c r="A66" s="518" t="s">
        <v>580</v>
      </c>
      <c r="C66" s="517">
        <v>1</v>
      </c>
      <c r="D66" s="519">
        <v>1.0049999999999999</v>
      </c>
      <c r="E66" s="519">
        <v>1.0049999999999999</v>
      </c>
      <c r="F66" s="519">
        <v>1.0049999999999999</v>
      </c>
      <c r="G66" s="519">
        <v>1.0049999999999999</v>
      </c>
      <c r="H66" s="519">
        <v>1.006</v>
      </c>
      <c r="I66" s="519">
        <v>1.006</v>
      </c>
      <c r="J66" s="519">
        <v>1.006</v>
      </c>
      <c r="K66" s="519">
        <v>1.006</v>
      </c>
      <c r="L66" s="519">
        <v>1.006</v>
      </c>
      <c r="M66" s="519">
        <v>1.006</v>
      </c>
      <c r="N66" s="519">
        <v>1.006</v>
      </c>
      <c r="O66" s="519">
        <v>1.006</v>
      </c>
      <c r="P66" s="519">
        <v>1.006</v>
      </c>
      <c r="Q66" s="519">
        <v>1.006</v>
      </c>
      <c r="R66" s="519">
        <v>1.006</v>
      </c>
      <c r="S66" s="519">
        <v>1.006</v>
      </c>
      <c r="T66" s="519">
        <v>1.006</v>
      </c>
      <c r="U66" s="519">
        <v>1.006</v>
      </c>
      <c r="V66" s="519">
        <v>1.006</v>
      </c>
      <c r="W66" s="519">
        <v>1.006</v>
      </c>
      <c r="X66" s="519">
        <v>1.006</v>
      </c>
      <c r="Y66" s="519">
        <v>1.006</v>
      </c>
      <c r="Z66" s="519">
        <v>1.006</v>
      </c>
      <c r="AA66" s="519">
        <v>1.006</v>
      </c>
      <c r="AB66" s="519">
        <v>1.006</v>
      </c>
      <c r="AC66" s="519">
        <v>1.006</v>
      </c>
      <c r="AD66" s="519">
        <v>1.006</v>
      </c>
      <c r="AE66" s="519">
        <v>1.006</v>
      </c>
      <c r="AF66" s="519">
        <v>1.006</v>
      </c>
      <c r="AG66" s="519">
        <v>1.006</v>
      </c>
      <c r="AH66" s="519">
        <v>1.006</v>
      </c>
      <c r="AI66" s="519">
        <v>1.006</v>
      </c>
      <c r="AJ66" s="519">
        <v>1.006</v>
      </c>
      <c r="AK66" s="519">
        <v>1.006</v>
      </c>
      <c r="AL66" s="519">
        <v>1.006</v>
      </c>
      <c r="AM66" s="519">
        <v>1.006</v>
      </c>
    </row>
    <row r="67" spans="1:39" x14ac:dyDescent="0.2">
      <c r="A67" s="516"/>
      <c r="C67" s="517"/>
      <c r="D67" s="517"/>
      <c r="E67" s="517"/>
      <c r="F67" s="517"/>
      <c r="G67" s="517"/>
      <c r="H67" s="517"/>
      <c r="I67" s="517"/>
      <c r="J67" s="517"/>
      <c r="K67" s="517"/>
      <c r="L67" s="517"/>
      <c r="M67" s="517"/>
      <c r="N67" s="517"/>
      <c r="O67" s="517"/>
      <c r="P67" s="517"/>
      <c r="Q67" s="517"/>
      <c r="R67" s="517"/>
      <c r="S67" s="517"/>
      <c r="T67" s="517"/>
      <c r="U67" s="517"/>
      <c r="V67" s="517"/>
      <c r="W67" s="517"/>
      <c r="X67" s="517"/>
      <c r="Y67" s="517"/>
      <c r="Z67" s="517"/>
      <c r="AA67" s="517"/>
      <c r="AB67" s="517"/>
      <c r="AC67" s="517"/>
      <c r="AD67" s="517"/>
      <c r="AE67" s="517"/>
      <c r="AF67" s="517"/>
      <c r="AG67" s="517"/>
      <c r="AH67" s="517"/>
      <c r="AI67" s="517"/>
      <c r="AJ67" s="517"/>
      <c r="AK67" s="517"/>
      <c r="AL67" s="517"/>
      <c r="AM67" s="517"/>
    </row>
    <row r="68" spans="1:39" x14ac:dyDescent="0.2">
      <c r="A68" s="516" t="s">
        <v>604</v>
      </c>
      <c r="C68" s="517">
        <v>1</v>
      </c>
      <c r="D68" s="517">
        <v>1.02</v>
      </c>
      <c r="E68" s="517">
        <v>1.02</v>
      </c>
      <c r="F68" s="517">
        <v>1.02</v>
      </c>
      <c r="G68" s="517">
        <v>1.02</v>
      </c>
      <c r="H68" s="517">
        <v>1.02</v>
      </c>
      <c r="I68" s="517">
        <v>1.02</v>
      </c>
      <c r="J68" s="517">
        <v>1.02</v>
      </c>
      <c r="K68" s="517">
        <v>1.02</v>
      </c>
      <c r="L68" s="517">
        <v>1.02</v>
      </c>
      <c r="M68" s="517">
        <v>1.02</v>
      </c>
      <c r="N68" s="517">
        <v>1.02</v>
      </c>
      <c r="O68" s="517">
        <v>1.02</v>
      </c>
      <c r="P68" s="517">
        <v>1.02</v>
      </c>
      <c r="Q68" s="517">
        <v>1.02</v>
      </c>
      <c r="R68" s="517">
        <v>1.02</v>
      </c>
      <c r="S68" s="517">
        <v>1.02</v>
      </c>
      <c r="T68" s="517">
        <v>1.02</v>
      </c>
      <c r="U68" s="517">
        <v>1.02</v>
      </c>
      <c r="V68" s="517">
        <v>1.02</v>
      </c>
      <c r="W68" s="517">
        <v>1.02</v>
      </c>
      <c r="X68" s="517">
        <v>1.02</v>
      </c>
      <c r="Y68" s="517">
        <v>1.02</v>
      </c>
      <c r="Z68" s="517">
        <v>1.02</v>
      </c>
      <c r="AA68" s="517">
        <v>1.02</v>
      </c>
      <c r="AB68" s="517">
        <v>1.02</v>
      </c>
      <c r="AC68" s="517">
        <v>1.02</v>
      </c>
      <c r="AD68" s="517">
        <v>1.02</v>
      </c>
      <c r="AE68" s="517">
        <v>1.02</v>
      </c>
      <c r="AF68" s="517">
        <v>1.02</v>
      </c>
      <c r="AG68" s="517">
        <v>1.02</v>
      </c>
      <c r="AH68" s="517">
        <v>1.02</v>
      </c>
      <c r="AI68" s="517">
        <v>1.02</v>
      </c>
      <c r="AJ68" s="517">
        <v>1.02</v>
      </c>
      <c r="AK68" s="517">
        <v>1.02</v>
      </c>
      <c r="AL68" s="517">
        <v>1.02</v>
      </c>
      <c r="AM68" s="517">
        <v>1.02</v>
      </c>
    </row>
    <row r="69" spans="1:39" x14ac:dyDescent="0.2">
      <c r="A69" s="518" t="s">
        <v>580</v>
      </c>
      <c r="C69" s="517">
        <v>1</v>
      </c>
      <c r="D69" s="519">
        <v>1.02</v>
      </c>
      <c r="E69" s="519">
        <v>1.02</v>
      </c>
      <c r="F69" s="519">
        <v>1.02</v>
      </c>
      <c r="G69" s="519">
        <v>1.02</v>
      </c>
      <c r="H69" s="519">
        <v>1.02</v>
      </c>
      <c r="I69" s="519">
        <v>1.02</v>
      </c>
      <c r="J69" s="519">
        <v>1.02</v>
      </c>
      <c r="K69" s="519">
        <v>1.02</v>
      </c>
      <c r="L69" s="519">
        <v>1.02</v>
      </c>
      <c r="M69" s="519">
        <v>1.02</v>
      </c>
      <c r="N69" s="519">
        <v>1.02</v>
      </c>
      <c r="O69" s="519">
        <v>1.02</v>
      </c>
      <c r="P69" s="519">
        <v>1.02</v>
      </c>
      <c r="Q69" s="519">
        <v>1.02</v>
      </c>
      <c r="R69" s="519">
        <v>1.02</v>
      </c>
      <c r="S69" s="519">
        <v>1.02</v>
      </c>
      <c r="T69" s="519">
        <v>1.02</v>
      </c>
      <c r="U69" s="519">
        <v>1.02</v>
      </c>
      <c r="V69" s="519">
        <v>1.02</v>
      </c>
      <c r="W69" s="519">
        <v>1.02</v>
      </c>
      <c r="X69" s="519">
        <v>1.02</v>
      </c>
      <c r="Y69" s="519">
        <v>1.02</v>
      </c>
      <c r="Z69" s="519">
        <v>1.02</v>
      </c>
      <c r="AA69" s="519">
        <v>1.02</v>
      </c>
      <c r="AB69" s="519">
        <v>1.02</v>
      </c>
      <c r="AC69" s="519">
        <v>1.02</v>
      </c>
      <c r="AD69" s="519">
        <v>1.02</v>
      </c>
      <c r="AE69" s="519">
        <v>1.02</v>
      </c>
      <c r="AF69" s="519">
        <v>1.02</v>
      </c>
      <c r="AG69" s="519">
        <v>1.02</v>
      </c>
      <c r="AH69" s="519">
        <v>1.02</v>
      </c>
      <c r="AI69" s="519">
        <v>1.02</v>
      </c>
      <c r="AJ69" s="519">
        <v>1.02</v>
      </c>
      <c r="AK69" s="519">
        <v>1.02</v>
      </c>
      <c r="AL69" s="519">
        <v>1.02</v>
      </c>
      <c r="AM69" s="519">
        <v>1.02</v>
      </c>
    </row>
    <row r="70" spans="1:39" ht="13.5" hidden="1" customHeight="1" x14ac:dyDescent="0.2">
      <c r="A70" s="521" t="s">
        <v>581</v>
      </c>
      <c r="C70" s="517">
        <v>1</v>
      </c>
      <c r="D70" s="517"/>
      <c r="E70" s="517"/>
      <c r="F70" s="517"/>
      <c r="G70" s="517"/>
      <c r="H70" s="517"/>
      <c r="I70" s="517"/>
      <c r="J70" s="517"/>
      <c r="K70" s="517"/>
      <c r="L70" s="517"/>
      <c r="M70" s="517"/>
      <c r="N70" s="517"/>
      <c r="O70" s="517"/>
      <c r="P70" s="517"/>
      <c r="Q70" s="517"/>
      <c r="R70" s="517"/>
      <c r="S70" s="517"/>
      <c r="T70" s="517"/>
      <c r="U70" s="517"/>
      <c r="V70" s="517"/>
      <c r="W70" s="517"/>
      <c r="X70" s="517"/>
      <c r="Y70" s="517"/>
      <c r="Z70" s="517"/>
      <c r="AA70" s="517"/>
      <c r="AB70" s="517"/>
      <c r="AC70" s="517"/>
      <c r="AD70" s="517"/>
      <c r="AE70" s="517"/>
      <c r="AF70" s="517"/>
      <c r="AG70" s="517"/>
      <c r="AH70" s="517"/>
      <c r="AI70" s="517"/>
      <c r="AJ70" s="517"/>
      <c r="AK70" s="517"/>
      <c r="AL70" s="517"/>
      <c r="AM70" s="517"/>
    </row>
    <row r="71" spans="1:39" hidden="1" x14ac:dyDescent="0.2">
      <c r="A71" s="518" t="s">
        <v>580</v>
      </c>
      <c r="C71" s="519"/>
      <c r="D71" s="519"/>
      <c r="E71" s="519"/>
      <c r="F71" s="522"/>
      <c r="G71" s="519"/>
      <c r="H71" s="519"/>
      <c r="I71" s="522"/>
      <c r="J71" s="519"/>
      <c r="K71" s="519"/>
      <c r="L71" s="522"/>
      <c r="M71" s="519"/>
      <c r="N71" s="519"/>
      <c r="O71" s="522"/>
      <c r="P71" s="519"/>
      <c r="Q71" s="519"/>
      <c r="R71" s="522"/>
      <c r="S71" s="519"/>
      <c r="T71" s="519"/>
      <c r="U71" s="522"/>
      <c r="V71" s="519"/>
      <c r="W71" s="519"/>
      <c r="X71" s="522"/>
      <c r="Y71" s="519"/>
      <c r="Z71" s="519"/>
      <c r="AA71" s="522"/>
      <c r="AB71" s="519"/>
      <c r="AC71" s="519"/>
      <c r="AD71" s="522"/>
      <c r="AE71" s="519"/>
      <c r="AF71" s="519"/>
      <c r="AG71" s="522"/>
      <c r="AH71" s="522"/>
      <c r="AI71" s="519"/>
      <c r="AJ71" s="522"/>
      <c r="AK71" s="522"/>
      <c r="AL71" s="519"/>
      <c r="AM71" s="522"/>
    </row>
    <row r="72" spans="1:39" x14ac:dyDescent="0.2">
      <c r="A72" s="516"/>
      <c r="C72" s="517"/>
      <c r="D72" s="517"/>
      <c r="E72" s="517"/>
      <c r="F72" s="523"/>
      <c r="G72" s="517"/>
      <c r="H72" s="517"/>
      <c r="I72" s="523"/>
      <c r="J72" s="517"/>
      <c r="K72" s="517"/>
      <c r="L72" s="523"/>
      <c r="M72" s="517"/>
      <c r="N72" s="517"/>
      <c r="O72" s="523"/>
      <c r="P72" s="517"/>
      <c r="Q72" s="517"/>
      <c r="R72" s="523"/>
      <c r="S72" s="517"/>
      <c r="T72" s="517"/>
      <c r="U72" s="523"/>
      <c r="V72" s="517"/>
      <c r="W72" s="517"/>
      <c r="X72" s="523"/>
      <c r="Y72" s="517"/>
      <c r="Z72" s="517"/>
      <c r="AA72" s="523"/>
      <c r="AB72" s="517"/>
      <c r="AC72" s="517"/>
      <c r="AD72" s="523"/>
      <c r="AE72" s="517"/>
      <c r="AF72" s="517"/>
      <c r="AG72" s="523"/>
      <c r="AH72" s="523"/>
      <c r="AI72" s="517"/>
      <c r="AJ72" s="523"/>
      <c r="AK72" s="523"/>
      <c r="AL72" s="517"/>
      <c r="AM72" s="523"/>
    </row>
    <row r="73" spans="1:39" ht="13.5" customHeight="1" x14ac:dyDescent="0.2">
      <c r="A73" s="521" t="s">
        <v>612</v>
      </c>
      <c r="C73" s="517">
        <v>1</v>
      </c>
      <c r="D73" s="517">
        <v>1.01</v>
      </c>
      <c r="E73" s="517">
        <v>1.01</v>
      </c>
      <c r="F73" s="517">
        <v>1.01</v>
      </c>
      <c r="G73" s="517">
        <v>1.01</v>
      </c>
      <c r="H73" s="517">
        <v>1.01</v>
      </c>
      <c r="I73" s="517">
        <v>1.01</v>
      </c>
      <c r="J73" s="517">
        <v>1.01</v>
      </c>
      <c r="K73" s="517">
        <v>1.01</v>
      </c>
      <c r="L73" s="517">
        <v>1.01</v>
      </c>
      <c r="M73" s="517">
        <v>1.0149999999999999</v>
      </c>
      <c r="N73" s="517">
        <v>1.0149999999999999</v>
      </c>
      <c r="O73" s="517">
        <v>1.0149999999999999</v>
      </c>
      <c r="P73" s="517">
        <v>1.0149999999999999</v>
      </c>
      <c r="Q73" s="517">
        <v>1.0149999999999999</v>
      </c>
      <c r="R73" s="517">
        <v>1.0149999999999999</v>
      </c>
      <c r="S73" s="517">
        <v>1.0149999999999999</v>
      </c>
      <c r="T73" s="517">
        <v>1.0149999999999999</v>
      </c>
      <c r="U73" s="517">
        <v>1.0149999999999999</v>
      </c>
      <c r="V73" s="517">
        <v>1.02</v>
      </c>
      <c r="W73" s="517">
        <v>1.02</v>
      </c>
      <c r="X73" s="517">
        <v>1.02</v>
      </c>
      <c r="Y73" s="517">
        <v>1.02</v>
      </c>
      <c r="Z73" s="517">
        <v>1.02</v>
      </c>
      <c r="AA73" s="517">
        <v>1.02</v>
      </c>
      <c r="AB73" s="517">
        <v>1.02</v>
      </c>
      <c r="AC73" s="517">
        <v>1.02</v>
      </c>
      <c r="AD73" s="517">
        <v>1.02</v>
      </c>
      <c r="AE73" s="517">
        <v>1.0249999999999999</v>
      </c>
      <c r="AF73" s="517">
        <v>1.0249999999999999</v>
      </c>
      <c r="AG73" s="517">
        <v>1.0249999999999999</v>
      </c>
      <c r="AH73" s="517">
        <v>1.0249999999999999</v>
      </c>
      <c r="AI73" s="517">
        <v>1.0249999999999999</v>
      </c>
      <c r="AJ73" s="517">
        <v>1.0249999999999999</v>
      </c>
      <c r="AK73" s="517">
        <v>1.0249999999999999</v>
      </c>
      <c r="AL73" s="517">
        <v>1.0249999999999999</v>
      </c>
      <c r="AM73" s="517">
        <v>1.0249999999999999</v>
      </c>
    </row>
    <row r="74" spans="1:39" x14ac:dyDescent="0.2">
      <c r="A74" s="518" t="s">
        <v>580</v>
      </c>
      <c r="C74" s="517">
        <v>1</v>
      </c>
      <c r="D74" s="519">
        <v>1.01</v>
      </c>
      <c r="E74" s="519">
        <v>1.01</v>
      </c>
      <c r="F74" s="519">
        <v>1.01</v>
      </c>
      <c r="G74" s="519">
        <v>1.01</v>
      </c>
      <c r="H74" s="519">
        <v>1.02</v>
      </c>
      <c r="I74" s="519">
        <v>1.02</v>
      </c>
      <c r="J74" s="519">
        <v>1.02</v>
      </c>
      <c r="K74" s="519">
        <v>1.02</v>
      </c>
      <c r="L74" s="519">
        <v>1.02</v>
      </c>
      <c r="M74" s="519">
        <v>1.02</v>
      </c>
      <c r="N74" s="519">
        <v>1.02</v>
      </c>
      <c r="O74" s="519">
        <v>1.02</v>
      </c>
      <c r="P74" s="519">
        <v>1.02</v>
      </c>
      <c r="Q74" s="519">
        <v>1.02</v>
      </c>
      <c r="R74" s="519">
        <v>1.02</v>
      </c>
      <c r="S74" s="519">
        <v>1.02</v>
      </c>
      <c r="T74" s="519">
        <v>1.02</v>
      </c>
      <c r="U74" s="519">
        <v>1.02</v>
      </c>
      <c r="V74" s="519">
        <v>1.02</v>
      </c>
      <c r="W74" s="519">
        <v>1.02</v>
      </c>
      <c r="X74" s="519">
        <v>1.02</v>
      </c>
      <c r="Y74" s="519">
        <v>1.02</v>
      </c>
      <c r="Z74" s="519">
        <v>1.02</v>
      </c>
      <c r="AA74" s="519">
        <v>1.02</v>
      </c>
      <c r="AB74" s="519">
        <v>1.02</v>
      </c>
      <c r="AC74" s="519">
        <v>1.02</v>
      </c>
      <c r="AD74" s="519">
        <v>1.02</v>
      </c>
      <c r="AE74" s="519">
        <v>1.02</v>
      </c>
      <c r="AF74" s="519">
        <v>1.02</v>
      </c>
      <c r="AG74" s="519">
        <v>1.02</v>
      </c>
      <c r="AH74" s="519">
        <v>1.02</v>
      </c>
      <c r="AI74" s="519">
        <v>1.02</v>
      </c>
      <c r="AJ74" s="519">
        <v>1.02</v>
      </c>
      <c r="AK74" s="519">
        <v>1.02</v>
      </c>
      <c r="AL74" s="519">
        <v>1.02</v>
      </c>
      <c r="AM74" s="519">
        <v>1.02</v>
      </c>
    </row>
    <row r="75" spans="1:39" x14ac:dyDescent="0.2">
      <c r="C75" s="517"/>
      <c r="D75" s="517"/>
      <c r="E75" s="517"/>
      <c r="F75" s="517"/>
      <c r="G75" s="517"/>
      <c r="H75" s="517"/>
      <c r="I75" s="517"/>
      <c r="J75" s="517"/>
      <c r="K75" s="517"/>
      <c r="L75" s="517"/>
      <c r="M75" s="517"/>
      <c r="N75" s="517"/>
      <c r="O75" s="517"/>
      <c r="P75" s="517"/>
      <c r="Q75" s="517"/>
      <c r="R75" s="517"/>
      <c r="S75" s="517"/>
      <c r="T75" s="517"/>
      <c r="U75" s="517"/>
      <c r="V75" s="517"/>
      <c r="W75" s="517"/>
      <c r="X75" s="517"/>
      <c r="Y75" s="517"/>
      <c r="Z75" s="517"/>
      <c r="AA75" s="517"/>
      <c r="AB75" s="517"/>
      <c r="AC75" s="517"/>
      <c r="AD75" s="517"/>
      <c r="AE75" s="517"/>
      <c r="AF75" s="517"/>
      <c r="AG75" s="517"/>
      <c r="AH75" s="517"/>
      <c r="AI75" s="517"/>
      <c r="AJ75" s="517"/>
      <c r="AK75" s="517"/>
      <c r="AL75" s="517"/>
      <c r="AM75" s="517"/>
    </row>
    <row r="76" spans="1:39" ht="16.5" customHeight="1" x14ac:dyDescent="0.2">
      <c r="A76" s="521" t="s">
        <v>613</v>
      </c>
      <c r="C76" s="517">
        <v>1</v>
      </c>
      <c r="D76" s="517">
        <v>1.03</v>
      </c>
      <c r="E76" s="517">
        <v>1.03</v>
      </c>
      <c r="F76" s="517">
        <v>1.03</v>
      </c>
      <c r="G76" s="517">
        <v>1.03</v>
      </c>
      <c r="H76" s="517">
        <v>1.03</v>
      </c>
      <c r="I76" s="517">
        <v>1.03</v>
      </c>
      <c r="J76" s="517">
        <v>1.03</v>
      </c>
      <c r="K76" s="517">
        <v>1.03</v>
      </c>
      <c r="L76" s="517">
        <v>1.03</v>
      </c>
      <c r="M76" s="517">
        <v>1.03</v>
      </c>
      <c r="N76" s="517">
        <v>1.0349999999999999</v>
      </c>
      <c r="O76" s="517">
        <v>1.0349999999999999</v>
      </c>
      <c r="P76" s="517">
        <v>1.0349999999999999</v>
      </c>
      <c r="Q76" s="517">
        <v>1.0349999999999999</v>
      </c>
      <c r="R76" s="517">
        <v>1.0349999999999999</v>
      </c>
      <c r="S76" s="517">
        <v>1.0349999999999999</v>
      </c>
      <c r="T76" s="517">
        <v>1.0349999999999999</v>
      </c>
      <c r="U76" s="517">
        <v>1.0349999999999999</v>
      </c>
      <c r="V76" s="517">
        <v>1.0349999999999999</v>
      </c>
      <c r="W76" s="517">
        <v>1.04</v>
      </c>
      <c r="X76" s="517">
        <v>1.04</v>
      </c>
      <c r="Y76" s="517">
        <v>1.04</v>
      </c>
      <c r="Z76" s="517">
        <v>1.04</v>
      </c>
      <c r="AA76" s="517">
        <v>1.04</v>
      </c>
      <c r="AB76" s="517">
        <v>1.04</v>
      </c>
      <c r="AC76" s="517">
        <v>1.04</v>
      </c>
      <c r="AD76" s="517">
        <v>1.04</v>
      </c>
      <c r="AE76" s="517">
        <v>1.04</v>
      </c>
      <c r="AF76" s="517">
        <v>1.0449999999999999</v>
      </c>
      <c r="AG76" s="517">
        <v>1.0449999999999999</v>
      </c>
      <c r="AH76" s="517">
        <v>1.0449999999999999</v>
      </c>
      <c r="AI76" s="517">
        <v>1.0449999999999999</v>
      </c>
      <c r="AJ76" s="517">
        <v>1.0449999999999999</v>
      </c>
      <c r="AK76" s="517">
        <v>1.0449999999999999</v>
      </c>
      <c r="AL76" s="517">
        <v>1.0449999999999999</v>
      </c>
      <c r="AM76" s="517">
        <v>1.0449999999999999</v>
      </c>
    </row>
    <row r="77" spans="1:39" x14ac:dyDescent="0.2">
      <c r="A77" s="518" t="s">
        <v>580</v>
      </c>
      <c r="C77" s="517">
        <v>1</v>
      </c>
      <c r="D77" s="519">
        <v>1.03</v>
      </c>
      <c r="E77" s="519">
        <v>1.03</v>
      </c>
      <c r="F77" s="519">
        <v>1.03</v>
      </c>
      <c r="G77" s="519">
        <v>1.03</v>
      </c>
      <c r="H77" s="519">
        <v>1.02</v>
      </c>
      <c r="I77" s="519">
        <v>1.02</v>
      </c>
      <c r="J77" s="519">
        <v>1.02</v>
      </c>
      <c r="K77" s="519">
        <v>1.02</v>
      </c>
      <c r="L77" s="519">
        <v>1.02</v>
      </c>
      <c r="M77" s="519">
        <v>1.02</v>
      </c>
      <c r="N77" s="519">
        <v>1.03</v>
      </c>
      <c r="O77" s="519">
        <v>1.03</v>
      </c>
      <c r="P77" s="519">
        <v>1.03</v>
      </c>
      <c r="Q77" s="519">
        <v>1.03</v>
      </c>
      <c r="R77" s="519">
        <v>1.03</v>
      </c>
      <c r="S77" s="519">
        <v>1.03</v>
      </c>
      <c r="T77" s="519">
        <v>1.03</v>
      </c>
      <c r="U77" s="519">
        <v>1.03</v>
      </c>
      <c r="V77" s="519">
        <v>1.03</v>
      </c>
      <c r="W77" s="519">
        <v>1.0349999999999999</v>
      </c>
      <c r="X77" s="519">
        <v>1.0349999999999999</v>
      </c>
      <c r="Y77" s="519">
        <v>1.0349999999999999</v>
      </c>
      <c r="Z77" s="519">
        <v>1.0349999999999999</v>
      </c>
      <c r="AA77" s="519">
        <v>1.0349999999999999</v>
      </c>
      <c r="AB77" s="519">
        <v>1.0349999999999999</v>
      </c>
      <c r="AC77" s="519">
        <v>1.0349999999999999</v>
      </c>
      <c r="AD77" s="519">
        <v>1.0349999999999999</v>
      </c>
      <c r="AE77" s="519">
        <v>1.0349999999999999</v>
      </c>
      <c r="AF77" s="519">
        <v>1.04</v>
      </c>
      <c r="AG77" s="519">
        <v>1.04</v>
      </c>
      <c r="AH77" s="519">
        <v>1.04</v>
      </c>
      <c r="AI77" s="519">
        <v>1.04</v>
      </c>
      <c r="AJ77" s="519">
        <v>1.04</v>
      </c>
      <c r="AK77" s="519">
        <v>1.04</v>
      </c>
      <c r="AL77" s="519">
        <v>1.04</v>
      </c>
      <c r="AM77" s="519">
        <v>1.04</v>
      </c>
    </row>
    <row r="78" spans="1:39" x14ac:dyDescent="0.2">
      <c r="A78" s="516"/>
      <c r="C78" s="517"/>
      <c r="D78" s="517"/>
      <c r="E78" s="517"/>
      <c r="F78" s="517"/>
      <c r="G78" s="517"/>
      <c r="H78" s="517"/>
      <c r="I78" s="517"/>
      <c r="J78" s="517"/>
      <c r="K78" s="517"/>
      <c r="L78" s="517"/>
      <c r="M78" s="517"/>
      <c r="N78" s="517"/>
      <c r="O78" s="517"/>
      <c r="P78" s="517"/>
      <c r="Q78" s="517"/>
      <c r="R78" s="517"/>
      <c r="S78" s="517"/>
      <c r="T78" s="517"/>
      <c r="U78" s="517"/>
      <c r="V78" s="517"/>
      <c r="W78" s="517"/>
      <c r="X78" s="517"/>
      <c r="Y78" s="517"/>
      <c r="Z78" s="517"/>
      <c r="AA78" s="517"/>
      <c r="AB78" s="517"/>
      <c r="AC78" s="517"/>
      <c r="AD78" s="517"/>
      <c r="AE78" s="517"/>
      <c r="AF78" s="517"/>
      <c r="AG78" s="517"/>
      <c r="AH78" s="517"/>
      <c r="AI78" s="517"/>
      <c r="AJ78" s="517"/>
      <c r="AK78" s="517"/>
      <c r="AL78" s="517"/>
      <c r="AM78" s="517"/>
    </row>
    <row r="79" spans="1:39" x14ac:dyDescent="0.2">
      <c r="A79" s="516" t="s">
        <v>633</v>
      </c>
      <c r="C79" s="517">
        <v>1</v>
      </c>
      <c r="D79" s="517">
        <v>1.0049999999999999</v>
      </c>
      <c r="E79" s="517">
        <v>1.0049999999999999</v>
      </c>
      <c r="F79" s="517">
        <v>1.0049999999999999</v>
      </c>
      <c r="G79" s="517">
        <v>1.0049999999999999</v>
      </c>
      <c r="H79" s="517">
        <v>1.0049999999999999</v>
      </c>
      <c r="I79" s="517">
        <v>1.0049999999999999</v>
      </c>
      <c r="J79" s="517">
        <v>1.0049999999999999</v>
      </c>
      <c r="K79" s="517">
        <v>1.0049999999999999</v>
      </c>
      <c r="L79" s="517">
        <v>1.0049999999999999</v>
      </c>
      <c r="M79" s="517">
        <v>1.0049999999999999</v>
      </c>
      <c r="N79" s="517">
        <v>1.0049999999999999</v>
      </c>
      <c r="O79" s="517">
        <v>1.0049999999999999</v>
      </c>
      <c r="P79" s="517">
        <v>1.0049999999999999</v>
      </c>
      <c r="Q79" s="517">
        <v>1.0049999999999999</v>
      </c>
      <c r="R79" s="517">
        <v>1.0049999999999999</v>
      </c>
      <c r="S79" s="517">
        <v>1.0049999999999999</v>
      </c>
      <c r="T79" s="517">
        <v>1.0049999999999999</v>
      </c>
      <c r="U79" s="517">
        <v>1.0049999999999999</v>
      </c>
      <c r="V79" s="517">
        <v>1.0049999999999999</v>
      </c>
      <c r="W79" s="517">
        <v>1.0049999999999999</v>
      </c>
      <c r="X79" s="517">
        <v>1.0049999999999999</v>
      </c>
      <c r="Y79" s="517">
        <v>1.0049999999999999</v>
      </c>
      <c r="Z79" s="517">
        <v>1.0049999999999999</v>
      </c>
      <c r="AA79" s="517">
        <v>1.0049999999999999</v>
      </c>
      <c r="AB79" s="517">
        <v>1.0049999999999999</v>
      </c>
      <c r="AC79" s="517">
        <v>1.0049999999999999</v>
      </c>
      <c r="AD79" s="517">
        <v>1.0049999999999999</v>
      </c>
      <c r="AE79" s="517">
        <v>1.0049999999999999</v>
      </c>
      <c r="AF79" s="517">
        <v>1.0049999999999999</v>
      </c>
      <c r="AG79" s="517">
        <v>1.0049999999999999</v>
      </c>
      <c r="AH79" s="517">
        <v>1.0049999999999999</v>
      </c>
      <c r="AI79" s="517">
        <v>1.0049999999999999</v>
      </c>
      <c r="AJ79" s="517">
        <v>1.0049999999999999</v>
      </c>
      <c r="AK79" s="517">
        <v>1.0049999999999999</v>
      </c>
      <c r="AL79" s="517">
        <v>1.0049999999999999</v>
      </c>
      <c r="AM79" s="517">
        <v>1.0049999999999999</v>
      </c>
    </row>
    <row r="80" spans="1:39" x14ac:dyDescent="0.2">
      <c r="A80" s="518" t="s">
        <v>580</v>
      </c>
      <c r="C80" s="517">
        <v>1</v>
      </c>
      <c r="D80" s="519">
        <v>1.0049999999999999</v>
      </c>
      <c r="E80" s="519">
        <v>1.0049999999999999</v>
      </c>
      <c r="F80" s="519">
        <v>1.0049999999999999</v>
      </c>
      <c r="G80" s="519">
        <v>1.0049999999999999</v>
      </c>
      <c r="H80" s="519">
        <v>1.0049999999999999</v>
      </c>
      <c r="I80" s="519">
        <v>1.0049999999999999</v>
      </c>
      <c r="J80" s="519">
        <v>1.0049999999999999</v>
      </c>
      <c r="K80" s="519">
        <v>1.0049999999999999</v>
      </c>
      <c r="L80" s="519">
        <v>1.0049999999999999</v>
      </c>
      <c r="M80" s="519">
        <v>1.0049999999999999</v>
      </c>
      <c r="N80" s="519">
        <v>1.0049999999999999</v>
      </c>
      <c r="O80" s="519">
        <v>1.0049999999999999</v>
      </c>
      <c r="P80" s="519">
        <v>1.0049999999999999</v>
      </c>
      <c r="Q80" s="519">
        <v>1.0049999999999999</v>
      </c>
      <c r="R80" s="519">
        <v>1.0049999999999999</v>
      </c>
      <c r="S80" s="519">
        <v>1.0049999999999999</v>
      </c>
      <c r="T80" s="519">
        <v>1.0049999999999999</v>
      </c>
      <c r="U80" s="519">
        <v>1.0049999999999999</v>
      </c>
      <c r="V80" s="519">
        <v>1.0049999999999999</v>
      </c>
      <c r="W80" s="519">
        <v>1.0049999999999999</v>
      </c>
      <c r="X80" s="519">
        <v>1.0049999999999999</v>
      </c>
      <c r="Y80" s="519">
        <v>1.0049999999999999</v>
      </c>
      <c r="Z80" s="519">
        <v>1.0049999999999999</v>
      </c>
      <c r="AA80" s="519">
        <v>1.0049999999999999</v>
      </c>
      <c r="AB80" s="519">
        <v>1.0049999999999999</v>
      </c>
      <c r="AC80" s="519">
        <v>1.0049999999999999</v>
      </c>
      <c r="AD80" s="519">
        <v>1.0049999999999999</v>
      </c>
      <c r="AE80" s="519">
        <v>1.0049999999999999</v>
      </c>
      <c r="AF80" s="519">
        <v>1.0049999999999999</v>
      </c>
      <c r="AG80" s="519">
        <v>1.0049999999999999</v>
      </c>
      <c r="AH80" s="519">
        <v>1.0049999999999999</v>
      </c>
      <c r="AI80" s="519">
        <v>1.0049999999999999</v>
      </c>
      <c r="AJ80" s="519">
        <v>1.0049999999999999</v>
      </c>
      <c r="AK80" s="519">
        <v>1.0049999999999999</v>
      </c>
      <c r="AL80" s="519">
        <v>1.0049999999999999</v>
      </c>
      <c r="AM80" s="519">
        <v>1.0049999999999999</v>
      </c>
    </row>
    <row r="81" spans="1:39" x14ac:dyDescent="0.2">
      <c r="A81" s="516"/>
      <c r="C81" s="517"/>
      <c r="D81" s="517"/>
      <c r="E81" s="517"/>
      <c r="F81" s="517"/>
      <c r="G81" s="517"/>
      <c r="H81" s="517"/>
      <c r="I81" s="517"/>
      <c r="J81" s="517"/>
      <c r="K81" s="517"/>
      <c r="L81" s="517"/>
      <c r="M81" s="517"/>
      <c r="N81" s="517"/>
      <c r="O81" s="517"/>
      <c r="P81" s="517"/>
      <c r="Q81" s="517"/>
      <c r="R81" s="517"/>
      <c r="S81" s="517"/>
      <c r="T81" s="517"/>
      <c r="U81" s="517"/>
      <c r="V81" s="517"/>
      <c r="W81" s="517"/>
      <c r="X81" s="517"/>
      <c r="Y81" s="517"/>
      <c r="Z81" s="517"/>
      <c r="AA81" s="517"/>
      <c r="AB81" s="517"/>
      <c r="AC81" s="517"/>
      <c r="AD81" s="517"/>
      <c r="AE81" s="517"/>
      <c r="AF81" s="517"/>
      <c r="AG81" s="517"/>
      <c r="AH81" s="517"/>
      <c r="AI81" s="517"/>
      <c r="AJ81" s="517"/>
      <c r="AK81" s="517"/>
      <c r="AL81" s="517"/>
      <c r="AM81" s="517"/>
    </row>
    <row r="82" spans="1:39" x14ac:dyDescent="0.2">
      <c r="A82" s="516" t="s">
        <v>634</v>
      </c>
      <c r="C82" s="517">
        <v>1</v>
      </c>
      <c r="D82" s="517">
        <v>1.01</v>
      </c>
      <c r="E82" s="517">
        <v>1.01</v>
      </c>
      <c r="F82" s="517">
        <v>1.01</v>
      </c>
      <c r="G82" s="517">
        <v>1.01</v>
      </c>
      <c r="H82" s="517">
        <v>1.01</v>
      </c>
      <c r="I82" s="517">
        <v>1.01</v>
      </c>
      <c r="J82" s="517">
        <v>1.01</v>
      </c>
      <c r="K82" s="517">
        <v>1.01</v>
      </c>
      <c r="L82" s="517">
        <v>1.01</v>
      </c>
      <c r="M82" s="517">
        <v>1.01</v>
      </c>
      <c r="N82" s="517">
        <v>1.01</v>
      </c>
      <c r="O82" s="517">
        <v>1.01</v>
      </c>
      <c r="P82" s="517">
        <v>1.01</v>
      </c>
      <c r="Q82" s="517">
        <v>1.01</v>
      </c>
      <c r="R82" s="517">
        <v>1.01</v>
      </c>
      <c r="S82" s="517">
        <v>1.01</v>
      </c>
      <c r="T82" s="517">
        <v>1.01</v>
      </c>
      <c r="U82" s="517">
        <v>1.01</v>
      </c>
      <c r="V82" s="517">
        <v>1.01</v>
      </c>
      <c r="W82" s="517">
        <v>1.01</v>
      </c>
      <c r="X82" s="517">
        <v>1.01</v>
      </c>
      <c r="Y82" s="517">
        <v>1.01</v>
      </c>
      <c r="Z82" s="517">
        <v>1.01</v>
      </c>
      <c r="AA82" s="517">
        <v>1.01</v>
      </c>
      <c r="AB82" s="517">
        <v>1.01</v>
      </c>
      <c r="AC82" s="517">
        <v>1.01</v>
      </c>
      <c r="AD82" s="517">
        <v>1.01</v>
      </c>
      <c r="AE82" s="517">
        <v>1.01</v>
      </c>
      <c r="AF82" s="517">
        <v>1.01</v>
      </c>
      <c r="AG82" s="517">
        <v>1.01</v>
      </c>
      <c r="AH82" s="517">
        <v>1.01</v>
      </c>
      <c r="AI82" s="517">
        <v>1.01</v>
      </c>
      <c r="AJ82" s="517">
        <v>1.01</v>
      </c>
      <c r="AK82" s="517">
        <v>1.01</v>
      </c>
      <c r="AL82" s="517">
        <v>1.01</v>
      </c>
      <c r="AM82" s="517">
        <v>1.01</v>
      </c>
    </row>
    <row r="83" spans="1:39" x14ac:dyDescent="0.2">
      <c r="A83" s="518" t="s">
        <v>580</v>
      </c>
      <c r="C83" s="517">
        <v>1</v>
      </c>
      <c r="D83" s="519">
        <v>1.01</v>
      </c>
      <c r="E83" s="519">
        <v>1.01</v>
      </c>
      <c r="F83" s="519">
        <v>1.01</v>
      </c>
      <c r="G83" s="519">
        <v>1.01</v>
      </c>
      <c r="H83" s="519">
        <v>1</v>
      </c>
      <c r="I83" s="519">
        <v>1</v>
      </c>
      <c r="J83" s="519">
        <v>1</v>
      </c>
      <c r="K83" s="519">
        <v>1</v>
      </c>
      <c r="L83" s="519">
        <v>1</v>
      </c>
      <c r="M83" s="519">
        <v>1</v>
      </c>
      <c r="N83" s="519">
        <v>1</v>
      </c>
      <c r="O83" s="519">
        <v>1</v>
      </c>
      <c r="P83" s="519">
        <v>1</v>
      </c>
      <c r="Q83" s="519">
        <v>1</v>
      </c>
      <c r="R83" s="519">
        <v>1</v>
      </c>
      <c r="S83" s="519">
        <v>1</v>
      </c>
      <c r="T83" s="519">
        <v>1</v>
      </c>
      <c r="U83" s="519">
        <v>1</v>
      </c>
      <c r="V83" s="519">
        <v>1</v>
      </c>
      <c r="W83" s="519">
        <v>1</v>
      </c>
      <c r="X83" s="519">
        <v>1</v>
      </c>
      <c r="Y83" s="519">
        <v>1</v>
      </c>
      <c r="Z83" s="519">
        <v>1</v>
      </c>
      <c r="AA83" s="519">
        <v>1</v>
      </c>
      <c r="AB83" s="519">
        <v>1</v>
      </c>
      <c r="AC83" s="519">
        <v>1</v>
      </c>
      <c r="AD83" s="519">
        <v>1</v>
      </c>
      <c r="AE83" s="519">
        <v>1</v>
      </c>
      <c r="AF83" s="519">
        <v>1</v>
      </c>
      <c r="AG83" s="519">
        <v>1</v>
      </c>
      <c r="AH83" s="519">
        <v>1</v>
      </c>
      <c r="AI83" s="519">
        <v>1</v>
      </c>
      <c r="AJ83" s="519">
        <v>1</v>
      </c>
      <c r="AK83" s="519">
        <v>1</v>
      </c>
      <c r="AL83" s="519">
        <v>1</v>
      </c>
      <c r="AM83" s="519">
        <v>1</v>
      </c>
    </row>
    <row r="84" spans="1:39" x14ac:dyDescent="0.2">
      <c r="A84" s="516"/>
      <c r="C84" s="517"/>
      <c r="D84" s="517"/>
      <c r="E84" s="517"/>
      <c r="F84" s="517"/>
      <c r="G84" s="517"/>
      <c r="H84" s="517"/>
      <c r="I84" s="517"/>
      <c r="J84" s="517"/>
      <c r="K84" s="517"/>
      <c r="L84" s="517"/>
      <c r="M84" s="517"/>
      <c r="N84" s="517"/>
      <c r="O84" s="517"/>
      <c r="P84" s="517"/>
      <c r="Q84" s="517"/>
      <c r="R84" s="517"/>
      <c r="S84" s="517"/>
      <c r="T84" s="517"/>
      <c r="U84" s="517"/>
      <c r="V84" s="517"/>
      <c r="W84" s="517"/>
      <c r="X84" s="517"/>
      <c r="Y84" s="517"/>
      <c r="Z84" s="517"/>
      <c r="AA84" s="517"/>
      <c r="AB84" s="517"/>
      <c r="AC84" s="517"/>
      <c r="AD84" s="517"/>
      <c r="AE84" s="517"/>
      <c r="AF84" s="517"/>
      <c r="AG84" s="517"/>
      <c r="AH84" s="517"/>
      <c r="AI84" s="517"/>
      <c r="AJ84" s="517"/>
      <c r="AK84" s="517"/>
      <c r="AL84" s="517"/>
      <c r="AM84" s="517"/>
    </row>
    <row r="85" spans="1:39" x14ac:dyDescent="0.2">
      <c r="A85" s="516" t="s">
        <v>614</v>
      </c>
      <c r="C85" s="517">
        <v>1</v>
      </c>
      <c r="D85" s="517">
        <v>1</v>
      </c>
      <c r="E85" s="517">
        <v>1</v>
      </c>
      <c r="F85" s="517">
        <v>1</v>
      </c>
      <c r="G85" s="517">
        <v>1</v>
      </c>
      <c r="H85" s="517">
        <v>1</v>
      </c>
      <c r="I85" s="517">
        <v>1</v>
      </c>
      <c r="J85" s="517">
        <v>1</v>
      </c>
      <c r="K85" s="517">
        <v>1</v>
      </c>
      <c r="L85" s="517">
        <v>1</v>
      </c>
      <c r="M85" s="517">
        <v>1</v>
      </c>
      <c r="N85" s="517">
        <v>1</v>
      </c>
      <c r="O85" s="517">
        <v>1</v>
      </c>
      <c r="P85" s="517">
        <v>1</v>
      </c>
      <c r="Q85" s="517">
        <v>1</v>
      </c>
      <c r="R85" s="517">
        <v>1</v>
      </c>
      <c r="S85" s="517">
        <v>1</v>
      </c>
      <c r="T85" s="517">
        <v>1</v>
      </c>
      <c r="U85" s="517">
        <v>1</v>
      </c>
      <c r="V85" s="517">
        <v>1</v>
      </c>
      <c r="W85" s="517">
        <v>1</v>
      </c>
      <c r="X85" s="517">
        <v>1</v>
      </c>
      <c r="Y85" s="517">
        <v>1</v>
      </c>
      <c r="Z85" s="517">
        <v>1</v>
      </c>
      <c r="AA85" s="517">
        <v>1</v>
      </c>
      <c r="AB85" s="517">
        <v>1</v>
      </c>
      <c r="AC85" s="517">
        <v>1</v>
      </c>
      <c r="AD85" s="517">
        <v>1</v>
      </c>
      <c r="AE85" s="517">
        <v>1</v>
      </c>
      <c r="AF85" s="517">
        <v>1</v>
      </c>
      <c r="AG85" s="517">
        <v>1</v>
      </c>
      <c r="AH85" s="517">
        <v>1</v>
      </c>
      <c r="AI85" s="517">
        <v>1</v>
      </c>
      <c r="AJ85" s="517">
        <v>1</v>
      </c>
      <c r="AK85" s="517">
        <v>1</v>
      </c>
      <c r="AL85" s="517">
        <v>1</v>
      </c>
      <c r="AM85" s="517">
        <v>1</v>
      </c>
    </row>
    <row r="86" spans="1:39" x14ac:dyDescent="0.2">
      <c r="A86" s="518" t="s">
        <v>580</v>
      </c>
      <c r="C86" s="517">
        <v>1</v>
      </c>
      <c r="D86" s="519">
        <v>1</v>
      </c>
      <c r="E86" s="519">
        <v>1</v>
      </c>
      <c r="F86" s="519">
        <v>1</v>
      </c>
      <c r="G86" s="519">
        <v>1</v>
      </c>
      <c r="H86" s="519">
        <v>1</v>
      </c>
      <c r="I86" s="519">
        <v>1</v>
      </c>
      <c r="J86" s="519">
        <v>1</v>
      </c>
      <c r="K86" s="519">
        <v>1</v>
      </c>
      <c r="L86" s="519">
        <v>1</v>
      </c>
      <c r="M86" s="519">
        <v>1</v>
      </c>
      <c r="N86" s="519">
        <v>1</v>
      </c>
      <c r="O86" s="519">
        <v>1</v>
      </c>
      <c r="P86" s="519">
        <v>1</v>
      </c>
      <c r="Q86" s="519">
        <v>1</v>
      </c>
      <c r="R86" s="519">
        <v>1</v>
      </c>
      <c r="S86" s="519">
        <v>1</v>
      </c>
      <c r="T86" s="519">
        <v>1</v>
      </c>
      <c r="U86" s="519">
        <v>1</v>
      </c>
      <c r="V86" s="519">
        <v>1</v>
      </c>
      <c r="W86" s="519">
        <v>1</v>
      </c>
      <c r="X86" s="519">
        <v>1</v>
      </c>
      <c r="Y86" s="519">
        <v>1</v>
      </c>
      <c r="Z86" s="519">
        <v>1</v>
      </c>
      <c r="AA86" s="519">
        <v>1</v>
      </c>
      <c r="AB86" s="519">
        <v>1</v>
      </c>
      <c r="AC86" s="519">
        <v>1</v>
      </c>
      <c r="AD86" s="519">
        <v>1</v>
      </c>
      <c r="AE86" s="519">
        <v>1</v>
      </c>
      <c r="AF86" s="519">
        <v>1</v>
      </c>
      <c r="AG86" s="519">
        <v>1</v>
      </c>
      <c r="AH86" s="519">
        <v>1</v>
      </c>
      <c r="AI86" s="519">
        <v>1</v>
      </c>
      <c r="AJ86" s="519">
        <v>1</v>
      </c>
      <c r="AK86" s="519">
        <v>1</v>
      </c>
      <c r="AL86" s="519">
        <v>1</v>
      </c>
      <c r="AM86" s="519">
        <v>1</v>
      </c>
    </row>
    <row r="87" spans="1:39" x14ac:dyDescent="0.2">
      <c r="A87" s="573"/>
      <c r="B87" s="573"/>
      <c r="C87" s="573"/>
      <c r="D87" s="573"/>
      <c r="E87" s="573"/>
      <c r="F87" s="573"/>
      <c r="G87" s="573"/>
    </row>
    <row r="88" spans="1:39" ht="12" customHeight="1" x14ac:dyDescent="0.2">
      <c r="A88" s="574"/>
      <c r="B88" s="574"/>
      <c r="C88" s="574"/>
    </row>
    <row r="90" spans="1:39" x14ac:dyDescent="0.2">
      <c r="H90" s="486"/>
      <c r="I90" s="486"/>
      <c r="J90" s="486"/>
      <c r="K90" s="486"/>
      <c r="L90" s="486"/>
      <c r="M90" s="486"/>
      <c r="N90" s="486"/>
      <c r="O90" s="486"/>
      <c r="P90" s="486"/>
      <c r="Q90" s="486"/>
      <c r="R90" s="486"/>
      <c r="S90" s="486"/>
      <c r="T90" s="486"/>
      <c r="U90" s="486"/>
      <c r="V90" s="486"/>
      <c r="W90" s="486"/>
      <c r="X90" s="486"/>
      <c r="Y90" s="486"/>
      <c r="Z90" s="486"/>
      <c r="AA90" s="486"/>
    </row>
    <row r="91" spans="1:39" ht="16.5" customHeight="1" x14ac:dyDescent="0.2">
      <c r="A91" s="235" t="s">
        <v>599</v>
      </c>
      <c r="B91" s="524"/>
      <c r="C91" s="524"/>
      <c r="D91" s="524"/>
    </row>
    <row r="92" spans="1:39" s="515" customFormat="1" x14ac:dyDescent="0.2">
      <c r="A92" s="479" t="s">
        <v>33</v>
      </c>
      <c r="B92" s="498" t="s">
        <v>508</v>
      </c>
      <c r="C92" s="481">
        <v>2023</v>
      </c>
      <c r="D92" s="481">
        <v>2024</v>
      </c>
      <c r="E92" s="481">
        <v>2025</v>
      </c>
      <c r="F92" s="481">
        <v>2026</v>
      </c>
      <c r="G92" s="481">
        <v>2027</v>
      </c>
      <c r="H92" s="481">
        <v>2028</v>
      </c>
      <c r="I92" s="481">
        <v>2029</v>
      </c>
      <c r="J92" s="481">
        <v>2030</v>
      </c>
      <c r="K92" s="481">
        <v>2031</v>
      </c>
      <c r="L92" s="481">
        <v>2032</v>
      </c>
      <c r="M92" s="481">
        <v>2033</v>
      </c>
      <c r="N92" s="481">
        <v>2034</v>
      </c>
      <c r="O92" s="481">
        <v>2035</v>
      </c>
      <c r="P92" s="481">
        <v>2036</v>
      </c>
      <c r="Q92" s="481">
        <v>2037</v>
      </c>
      <c r="R92" s="481">
        <v>2038</v>
      </c>
      <c r="S92" s="481">
        <v>2039</v>
      </c>
      <c r="T92" s="481">
        <v>2040</v>
      </c>
      <c r="U92" s="481">
        <v>2041</v>
      </c>
      <c r="V92" s="481">
        <v>2042</v>
      </c>
      <c r="W92" s="481">
        <v>2043</v>
      </c>
      <c r="X92" s="481">
        <v>2044</v>
      </c>
      <c r="Y92" s="481">
        <v>2045</v>
      </c>
      <c r="Z92" s="481">
        <v>2046</v>
      </c>
      <c r="AA92" s="481">
        <v>2047</v>
      </c>
      <c r="AB92" s="481">
        <v>2048</v>
      </c>
      <c r="AC92" s="481">
        <v>2049</v>
      </c>
      <c r="AD92" s="481">
        <v>2050</v>
      </c>
      <c r="AE92" s="481">
        <v>2051</v>
      </c>
      <c r="AF92" s="481">
        <v>2052</v>
      </c>
      <c r="AG92" s="481">
        <v>2053</v>
      </c>
      <c r="AH92" s="481">
        <v>2054</v>
      </c>
      <c r="AI92" s="481">
        <v>2055</v>
      </c>
      <c r="AJ92" s="481">
        <v>2056</v>
      </c>
      <c r="AK92" s="481">
        <v>2057</v>
      </c>
      <c r="AL92" s="481">
        <v>2058</v>
      </c>
      <c r="AM92" s="481">
        <v>2059</v>
      </c>
    </row>
    <row r="93" spans="1:39" x14ac:dyDescent="0.2">
      <c r="A93" s="232" t="s">
        <v>582</v>
      </c>
      <c r="B93" s="525"/>
      <c r="C93" s="496">
        <f t="shared" ref="C93:AH93" si="28">C62</f>
        <v>1</v>
      </c>
      <c r="D93" s="496">
        <f t="shared" si="28"/>
        <v>1.01</v>
      </c>
      <c r="E93" s="496">
        <f t="shared" si="28"/>
        <v>1.01</v>
      </c>
      <c r="F93" s="496">
        <f t="shared" si="28"/>
        <v>1.01</v>
      </c>
      <c r="G93" s="496">
        <f t="shared" si="28"/>
        <v>1.01</v>
      </c>
      <c r="H93" s="496">
        <f t="shared" si="28"/>
        <v>1.01</v>
      </c>
      <c r="I93" s="496">
        <f t="shared" si="28"/>
        <v>1.01</v>
      </c>
      <c r="J93" s="496">
        <f t="shared" si="28"/>
        <v>1.01</v>
      </c>
      <c r="K93" s="496">
        <f t="shared" si="28"/>
        <v>1.01</v>
      </c>
      <c r="L93" s="496">
        <f t="shared" si="28"/>
        <v>1.01</v>
      </c>
      <c r="M93" s="496">
        <f t="shared" si="28"/>
        <v>1.01</v>
      </c>
      <c r="N93" s="496">
        <f t="shared" si="28"/>
        <v>1.01</v>
      </c>
      <c r="O93" s="496">
        <f t="shared" si="28"/>
        <v>1.01</v>
      </c>
      <c r="P93" s="496">
        <f t="shared" si="28"/>
        <v>1.01</v>
      </c>
      <c r="Q93" s="496">
        <f t="shared" si="28"/>
        <v>1.01</v>
      </c>
      <c r="R93" s="496">
        <f t="shared" si="28"/>
        <v>1.01</v>
      </c>
      <c r="S93" s="496">
        <f t="shared" si="28"/>
        <v>1.01</v>
      </c>
      <c r="T93" s="496">
        <f t="shared" si="28"/>
        <v>1.01</v>
      </c>
      <c r="U93" s="496">
        <f t="shared" si="28"/>
        <v>1.01</v>
      </c>
      <c r="V93" s="496">
        <f t="shared" si="28"/>
        <v>1.01</v>
      </c>
      <c r="W93" s="496">
        <f t="shared" si="28"/>
        <v>1.01</v>
      </c>
      <c r="X93" s="496">
        <f t="shared" si="28"/>
        <v>1.01</v>
      </c>
      <c r="Y93" s="496">
        <f t="shared" si="28"/>
        <v>1.01</v>
      </c>
      <c r="Z93" s="496">
        <f t="shared" si="28"/>
        <v>1.01</v>
      </c>
      <c r="AA93" s="496">
        <f t="shared" si="28"/>
        <v>1.01</v>
      </c>
      <c r="AB93" s="496">
        <f t="shared" si="28"/>
        <v>1.01</v>
      </c>
      <c r="AC93" s="496">
        <f t="shared" si="28"/>
        <v>1.01</v>
      </c>
      <c r="AD93" s="496">
        <f t="shared" si="28"/>
        <v>1.01</v>
      </c>
      <c r="AE93" s="496">
        <f t="shared" si="28"/>
        <v>1.01</v>
      </c>
      <c r="AF93" s="496">
        <f t="shared" si="28"/>
        <v>1.01</v>
      </c>
      <c r="AG93" s="496">
        <f t="shared" si="28"/>
        <v>1.01</v>
      </c>
      <c r="AH93" s="496">
        <f t="shared" si="28"/>
        <v>1.01</v>
      </c>
      <c r="AI93" s="496">
        <f t="shared" ref="AI93:AM93" si="29">AI62</f>
        <v>1.01</v>
      </c>
      <c r="AJ93" s="496">
        <f t="shared" si="29"/>
        <v>1.01</v>
      </c>
      <c r="AK93" s="496">
        <f t="shared" si="29"/>
        <v>1.01</v>
      </c>
      <c r="AL93" s="496">
        <f t="shared" si="29"/>
        <v>1.01</v>
      </c>
      <c r="AM93" s="496">
        <f t="shared" si="29"/>
        <v>1.01</v>
      </c>
    </row>
    <row r="94" spans="1:39" x14ac:dyDescent="0.2">
      <c r="A94" s="232" t="str">
        <f>A10</f>
        <v>Spotreba materiálu</v>
      </c>
      <c r="B94" s="525"/>
      <c r="C94" s="777">
        <f>$D$27</f>
        <v>1.2439093484419264</v>
      </c>
      <c r="D94" s="526"/>
      <c r="E94" s="526"/>
      <c r="F94" s="526"/>
      <c r="G94" s="526"/>
      <c r="H94" s="526"/>
      <c r="I94" s="526"/>
      <c r="J94" s="526"/>
      <c r="K94" s="526"/>
      <c r="L94" s="526"/>
      <c r="M94" s="526"/>
      <c r="N94" s="526"/>
      <c r="O94" s="526"/>
      <c r="P94" s="526"/>
      <c r="Q94" s="526"/>
      <c r="R94" s="526"/>
      <c r="S94" s="526"/>
      <c r="T94" s="526"/>
      <c r="U94" s="526"/>
      <c r="V94" s="526"/>
      <c r="W94" s="526"/>
      <c r="X94" s="526"/>
      <c r="Y94" s="526"/>
      <c r="Z94" s="526"/>
      <c r="AA94" s="526"/>
      <c r="AB94" s="526"/>
      <c r="AC94" s="526"/>
      <c r="AD94" s="526"/>
      <c r="AE94" s="526"/>
      <c r="AF94" s="526"/>
      <c r="AG94" s="526"/>
      <c r="AH94" s="526"/>
      <c r="AI94" s="526"/>
      <c r="AJ94" s="526"/>
      <c r="AK94" s="526"/>
      <c r="AL94" s="526"/>
      <c r="AM94" s="526"/>
    </row>
    <row r="95" spans="1:39" x14ac:dyDescent="0.2">
      <c r="A95" s="525" t="s">
        <v>615</v>
      </c>
      <c r="B95" s="485">
        <f>SUM(E95:AM95)</f>
        <v>67995846.087348834</v>
      </c>
      <c r="C95" s="527">
        <f>C4*$C$94*C93</f>
        <v>1599990.8385269123</v>
      </c>
      <c r="D95" s="527">
        <f>C95*D93</f>
        <v>1615990.7469121814</v>
      </c>
      <c r="E95" s="527">
        <f>D95*E93</f>
        <v>1632150.6543813031</v>
      </c>
      <c r="F95" s="527">
        <f>E95*F93</f>
        <v>1648472.1609251162</v>
      </c>
      <c r="G95" s="527">
        <f>F95*G93</f>
        <v>1664956.8825343673</v>
      </c>
      <c r="H95" s="527">
        <f t="shared" ref="H95:AH95" si="30">G95*H93</f>
        <v>1681606.4513597109</v>
      </c>
      <c r="I95" s="527">
        <f>H95*I93</f>
        <v>1698422.5158733081</v>
      </c>
      <c r="J95" s="527">
        <f t="shared" si="30"/>
        <v>1715406.7410320411</v>
      </c>
      <c r="K95" s="527">
        <f t="shared" si="30"/>
        <v>1732560.8084423617</v>
      </c>
      <c r="L95" s="527">
        <f t="shared" si="30"/>
        <v>1749886.4165267854</v>
      </c>
      <c r="M95" s="527">
        <f t="shared" si="30"/>
        <v>1767385.2806920533</v>
      </c>
      <c r="N95" s="527">
        <f t="shared" si="30"/>
        <v>1785059.1334989739</v>
      </c>
      <c r="O95" s="527">
        <f t="shared" si="30"/>
        <v>1802909.7248339637</v>
      </c>
      <c r="P95" s="527">
        <f t="shared" si="30"/>
        <v>1820938.8220823032</v>
      </c>
      <c r="Q95" s="527">
        <f t="shared" si="30"/>
        <v>1839148.2103031264</v>
      </c>
      <c r="R95" s="527">
        <f t="shared" si="30"/>
        <v>1857539.6924061577</v>
      </c>
      <c r="S95" s="527">
        <f t="shared" si="30"/>
        <v>1876115.0893302194</v>
      </c>
      <c r="T95" s="527">
        <f t="shared" si="30"/>
        <v>1894876.2402235216</v>
      </c>
      <c r="U95" s="527">
        <f t="shared" si="30"/>
        <v>1913825.0026257569</v>
      </c>
      <c r="V95" s="527">
        <f t="shared" si="30"/>
        <v>1932963.2526520144</v>
      </c>
      <c r="W95" s="527">
        <f t="shared" si="30"/>
        <v>1952292.8851785345</v>
      </c>
      <c r="X95" s="527">
        <f t="shared" si="30"/>
        <v>1971815.8140303199</v>
      </c>
      <c r="Y95" s="527">
        <f t="shared" si="30"/>
        <v>1991533.972170623</v>
      </c>
      <c r="Z95" s="527">
        <f t="shared" si="30"/>
        <v>2011449.3118923292</v>
      </c>
      <c r="AA95" s="527">
        <f t="shared" si="30"/>
        <v>2031563.8050112526</v>
      </c>
      <c r="AB95" s="527">
        <f t="shared" si="30"/>
        <v>2051879.4430613653</v>
      </c>
      <c r="AC95" s="527">
        <f t="shared" si="30"/>
        <v>2072398.237491979</v>
      </c>
      <c r="AD95" s="527">
        <f t="shared" si="30"/>
        <v>2093122.2198668988</v>
      </c>
      <c r="AE95" s="527">
        <f t="shared" si="30"/>
        <v>2114053.4420655677</v>
      </c>
      <c r="AF95" s="527">
        <f t="shared" si="30"/>
        <v>2135193.9764862233</v>
      </c>
      <c r="AG95" s="527">
        <f t="shared" si="30"/>
        <v>2156545.9162510857</v>
      </c>
      <c r="AH95" s="527">
        <f t="shared" si="30"/>
        <v>2178111.3754135966</v>
      </c>
      <c r="AI95" s="527">
        <f t="shared" ref="AI95" si="31">AH95*AI93</f>
        <v>2199892.4891677327</v>
      </c>
      <c r="AJ95" s="527">
        <f t="shared" ref="AJ95" si="32">AI95*AJ93</f>
        <v>2221891.4140594099</v>
      </c>
      <c r="AK95" s="527">
        <f t="shared" ref="AK95" si="33">AJ95*AK93</f>
        <v>2244110.3282000041</v>
      </c>
      <c r="AL95" s="527">
        <f t="shared" ref="AL95" si="34">AK95*AL93</f>
        <v>2266551.431482004</v>
      </c>
      <c r="AM95" s="527">
        <f t="shared" ref="AM95" si="35">AL95*AM93</f>
        <v>2289216.9457968241</v>
      </c>
    </row>
    <row r="96" spans="1:39" x14ac:dyDescent="0.2">
      <c r="A96" s="528" t="s">
        <v>34</v>
      </c>
      <c r="B96" s="498" t="s">
        <v>508</v>
      </c>
      <c r="C96" s="778"/>
      <c r="D96" s="529"/>
      <c r="E96" s="529"/>
      <c r="F96" s="529"/>
      <c r="G96" s="529"/>
      <c r="H96" s="529"/>
      <c r="I96" s="529"/>
      <c r="J96" s="529"/>
      <c r="K96" s="529"/>
      <c r="L96" s="529"/>
      <c r="M96" s="529"/>
      <c r="N96" s="529"/>
      <c r="O96" s="529"/>
      <c r="P96" s="529"/>
      <c r="Q96" s="529"/>
      <c r="R96" s="529"/>
      <c r="S96" s="529"/>
      <c r="T96" s="529"/>
      <c r="U96" s="529"/>
      <c r="V96" s="529"/>
      <c r="W96" s="529"/>
      <c r="X96" s="529"/>
      <c r="Y96" s="529"/>
      <c r="Z96" s="529"/>
      <c r="AA96" s="529"/>
      <c r="AB96" s="529"/>
      <c r="AC96" s="529"/>
      <c r="AD96" s="529"/>
      <c r="AE96" s="529"/>
      <c r="AF96" s="529"/>
      <c r="AG96" s="529"/>
      <c r="AH96" s="529"/>
      <c r="AI96" s="529"/>
      <c r="AJ96" s="529"/>
      <c r="AK96" s="529"/>
      <c r="AL96" s="529"/>
      <c r="AM96" s="529"/>
    </row>
    <row r="97" spans="1:39" x14ac:dyDescent="0.2">
      <c r="A97" s="530" t="s">
        <v>582</v>
      </c>
      <c r="B97" s="525"/>
      <c r="C97" s="779">
        <f>C63</f>
        <v>1</v>
      </c>
      <c r="D97" s="779">
        <f t="shared" ref="D97:AH97" si="36">D63</f>
        <v>1.01</v>
      </c>
      <c r="E97" s="779">
        <f t="shared" si="36"/>
        <v>1.01</v>
      </c>
      <c r="F97" s="779">
        <f t="shared" si="36"/>
        <v>1.01</v>
      </c>
      <c r="G97" s="779">
        <f t="shared" si="36"/>
        <v>1.01</v>
      </c>
      <c r="H97" s="779">
        <f t="shared" si="36"/>
        <v>1.014</v>
      </c>
      <c r="I97" s="779">
        <f t="shared" si="36"/>
        <v>1.014</v>
      </c>
      <c r="J97" s="779">
        <f t="shared" si="36"/>
        <v>1.014</v>
      </c>
      <c r="K97" s="779">
        <f t="shared" si="36"/>
        <v>1.014</v>
      </c>
      <c r="L97" s="779">
        <f t="shared" si="36"/>
        <v>1.014</v>
      </c>
      <c r="M97" s="779">
        <f t="shared" si="36"/>
        <v>1.014</v>
      </c>
      <c r="N97" s="779">
        <f t="shared" si="36"/>
        <v>1.014</v>
      </c>
      <c r="O97" s="779">
        <f t="shared" si="36"/>
        <v>1.014</v>
      </c>
      <c r="P97" s="779">
        <f t="shared" si="36"/>
        <v>1.014</v>
      </c>
      <c r="Q97" s="779">
        <f t="shared" si="36"/>
        <v>1.014</v>
      </c>
      <c r="R97" s="779">
        <f t="shared" si="36"/>
        <v>1.014</v>
      </c>
      <c r="S97" s="779">
        <f t="shared" si="36"/>
        <v>1.014</v>
      </c>
      <c r="T97" s="779">
        <f t="shared" si="36"/>
        <v>1.014</v>
      </c>
      <c r="U97" s="779">
        <f t="shared" si="36"/>
        <v>1.014</v>
      </c>
      <c r="V97" s="779">
        <f t="shared" si="36"/>
        <v>1.014</v>
      </c>
      <c r="W97" s="779">
        <f t="shared" si="36"/>
        <v>1.014</v>
      </c>
      <c r="X97" s="779">
        <f t="shared" si="36"/>
        <v>1.014</v>
      </c>
      <c r="Y97" s="779">
        <f t="shared" si="36"/>
        <v>1.014</v>
      </c>
      <c r="Z97" s="779">
        <f t="shared" si="36"/>
        <v>1.014</v>
      </c>
      <c r="AA97" s="779">
        <f t="shared" si="36"/>
        <v>1.014</v>
      </c>
      <c r="AB97" s="779">
        <f t="shared" si="36"/>
        <v>1.014</v>
      </c>
      <c r="AC97" s="779">
        <f t="shared" si="36"/>
        <v>1.014</v>
      </c>
      <c r="AD97" s="779">
        <f t="shared" si="36"/>
        <v>1.014</v>
      </c>
      <c r="AE97" s="779">
        <f t="shared" si="36"/>
        <v>1.014</v>
      </c>
      <c r="AF97" s="779">
        <f t="shared" si="36"/>
        <v>1.014</v>
      </c>
      <c r="AG97" s="779">
        <f t="shared" si="36"/>
        <v>1.014</v>
      </c>
      <c r="AH97" s="779">
        <f t="shared" si="36"/>
        <v>1.014</v>
      </c>
      <c r="AI97" s="779">
        <f t="shared" ref="AI97:AM97" si="37">AI63</f>
        <v>1.014</v>
      </c>
      <c r="AJ97" s="779">
        <f t="shared" si="37"/>
        <v>1.014</v>
      </c>
      <c r="AK97" s="779">
        <f t="shared" si="37"/>
        <v>1.014</v>
      </c>
      <c r="AL97" s="779">
        <f t="shared" si="37"/>
        <v>1.014</v>
      </c>
      <c r="AM97" s="779">
        <f t="shared" si="37"/>
        <v>1.014</v>
      </c>
    </row>
    <row r="98" spans="1:39" x14ac:dyDescent="0.2">
      <c r="A98" s="525" t="s">
        <v>616</v>
      </c>
      <c r="B98" s="485">
        <f>SUM(E98:AM98)</f>
        <v>79017935.371666819</v>
      </c>
      <c r="C98" s="527">
        <f>C5*$C$94*C97</f>
        <v>1599990.8385269123</v>
      </c>
      <c r="D98" s="527">
        <f>C98*D97</f>
        <v>1615990.7469121814</v>
      </c>
      <c r="E98" s="527">
        <f>D98*E97</f>
        <v>1632150.6543813031</v>
      </c>
      <c r="F98" s="527">
        <f>E98*F97</f>
        <v>1648472.1609251162</v>
      </c>
      <c r="G98" s="527">
        <f>F98*G97</f>
        <v>1664956.8825343673</v>
      </c>
      <c r="H98" s="527">
        <f>H5*$C$94*H97</f>
        <v>1850740.8215864024</v>
      </c>
      <c r="I98" s="527">
        <f>H98*I97</f>
        <v>1876651.1930886121</v>
      </c>
      <c r="J98" s="527">
        <f>I98*J97</f>
        <v>1902924.3097918527</v>
      </c>
      <c r="K98" s="527">
        <f t="shared" ref="K98:AH98" si="38">J98*K97</f>
        <v>1929565.2501289386</v>
      </c>
      <c r="L98" s="527">
        <f t="shared" si="38"/>
        <v>1956579.1636307437</v>
      </c>
      <c r="M98" s="527">
        <f t="shared" si="38"/>
        <v>1983971.2719215741</v>
      </c>
      <c r="N98" s="527">
        <f t="shared" si="38"/>
        <v>2011746.8697284763</v>
      </c>
      <c r="O98" s="527">
        <f t="shared" si="38"/>
        <v>2039911.3259046751</v>
      </c>
      <c r="P98" s="527">
        <f t="shared" si="38"/>
        <v>2068470.0844673405</v>
      </c>
      <c r="Q98" s="527">
        <f t="shared" si="38"/>
        <v>2097428.6656498834</v>
      </c>
      <c r="R98" s="527">
        <f t="shared" si="38"/>
        <v>2126792.6669689817</v>
      </c>
      <c r="S98" s="527">
        <f t="shared" si="38"/>
        <v>2156567.7643065476</v>
      </c>
      <c r="T98" s="527">
        <f t="shared" si="38"/>
        <v>2186759.7130068392</v>
      </c>
      <c r="U98" s="527">
        <f t="shared" si="38"/>
        <v>2217374.3489889349</v>
      </c>
      <c r="V98" s="527">
        <f t="shared" si="38"/>
        <v>2248417.5898747798</v>
      </c>
      <c r="W98" s="527">
        <f t="shared" si="38"/>
        <v>2279895.4361330266</v>
      </c>
      <c r="X98" s="527">
        <f t="shared" si="38"/>
        <v>2311813.972238889</v>
      </c>
      <c r="Y98" s="527">
        <f t="shared" si="38"/>
        <v>2344179.3678502333</v>
      </c>
      <c r="Z98" s="527">
        <f t="shared" si="38"/>
        <v>2376997.8790001366</v>
      </c>
      <c r="AA98" s="527">
        <f t="shared" si="38"/>
        <v>2410275.8493061387</v>
      </c>
      <c r="AB98" s="527">
        <f t="shared" si="38"/>
        <v>2444019.7111964244</v>
      </c>
      <c r="AC98" s="527">
        <f t="shared" si="38"/>
        <v>2478235.9871531744</v>
      </c>
      <c r="AD98" s="527">
        <f t="shared" si="38"/>
        <v>2512931.2909733187</v>
      </c>
      <c r="AE98" s="527">
        <f t="shared" si="38"/>
        <v>2548112.3290469451</v>
      </c>
      <c r="AF98" s="527">
        <f t="shared" si="38"/>
        <v>2583785.9016536023</v>
      </c>
      <c r="AG98" s="527">
        <f t="shared" si="38"/>
        <v>2619958.9042767528</v>
      </c>
      <c r="AH98" s="527">
        <f t="shared" si="38"/>
        <v>2656638.3289366276</v>
      </c>
      <c r="AI98" s="527">
        <f t="shared" ref="AI98" si="39">AH98*AI97</f>
        <v>2693831.2655417402</v>
      </c>
      <c r="AJ98" s="527">
        <f t="shared" ref="AJ98" si="40">AI98*AJ97</f>
        <v>2731544.9032593248</v>
      </c>
      <c r="AK98" s="527">
        <f t="shared" ref="AK98" si="41">AJ98*AK97</f>
        <v>2769786.5319049554</v>
      </c>
      <c r="AL98" s="527">
        <f t="shared" ref="AL98" si="42">AK98*AL97</f>
        <v>2808563.5433516246</v>
      </c>
      <c r="AM98" s="527">
        <f t="shared" ref="AM98" si="43">AL98*AM97</f>
        <v>2847883.4329585475</v>
      </c>
    </row>
    <row r="99" spans="1:39" x14ac:dyDescent="0.2">
      <c r="C99" s="780"/>
    </row>
    <row r="100" spans="1:39" x14ac:dyDescent="0.2">
      <c r="A100" s="531" t="s">
        <v>617</v>
      </c>
      <c r="B100" s="485">
        <f>SUM(E100:AM100)</f>
        <v>11022089.284317998</v>
      </c>
      <c r="C100" s="485">
        <f t="shared" ref="C100:AH100" si="44">C98-C95</f>
        <v>0</v>
      </c>
      <c r="D100" s="485">
        <f t="shared" si="44"/>
        <v>0</v>
      </c>
      <c r="E100" s="485">
        <f t="shared" si="44"/>
        <v>0</v>
      </c>
      <c r="F100" s="485">
        <f>F98-F95</f>
        <v>0</v>
      </c>
      <c r="G100" s="485">
        <f t="shared" si="44"/>
        <v>0</v>
      </c>
      <c r="H100" s="485">
        <f>H98-H95</f>
        <v>169134.37022669148</v>
      </c>
      <c r="I100" s="485">
        <f>I98-I95</f>
        <v>178228.67721530399</v>
      </c>
      <c r="J100" s="485">
        <f t="shared" si="44"/>
        <v>187517.56875981158</v>
      </c>
      <c r="K100" s="485">
        <f>K98-K95</f>
        <v>197004.44168657693</v>
      </c>
      <c r="L100" s="485">
        <f t="shared" si="44"/>
        <v>206692.74710395839</v>
      </c>
      <c r="M100" s="485">
        <f t="shared" si="44"/>
        <v>216585.99122952088</v>
      </c>
      <c r="N100" s="485">
        <f t="shared" si="44"/>
        <v>226687.73622950236</v>
      </c>
      <c r="O100" s="485">
        <f>O98-O95</f>
        <v>237001.60107071139</v>
      </c>
      <c r="P100" s="485">
        <f t="shared" si="44"/>
        <v>247531.26238503726</v>
      </c>
      <c r="Q100" s="485">
        <f t="shared" si="44"/>
        <v>258280.45534675708</v>
      </c>
      <c r="R100" s="485">
        <f t="shared" si="44"/>
        <v>269252.97456282401</v>
      </c>
      <c r="S100" s="485">
        <f t="shared" si="44"/>
        <v>280452.67497632816</v>
      </c>
      <c r="T100" s="485">
        <f t="shared" si="44"/>
        <v>291883.47278331756</v>
      </c>
      <c r="U100" s="485">
        <f t="shared" si="44"/>
        <v>303549.34636317799</v>
      </c>
      <c r="V100" s="485">
        <f t="shared" si="44"/>
        <v>315454.33722276543</v>
      </c>
      <c r="W100" s="485">
        <f t="shared" si="44"/>
        <v>327602.55095449206</v>
      </c>
      <c r="X100" s="485">
        <f t="shared" si="44"/>
        <v>339998.15820856905</v>
      </c>
      <c r="Y100" s="485">
        <f t="shared" si="44"/>
        <v>352645.39567961032</v>
      </c>
      <c r="Z100" s="485">
        <f t="shared" si="44"/>
        <v>365548.56710780738</v>
      </c>
      <c r="AA100" s="485">
        <f t="shared" si="44"/>
        <v>378712.04429488606</v>
      </c>
      <c r="AB100" s="485">
        <f t="shared" si="44"/>
        <v>392140.26813505916</v>
      </c>
      <c r="AC100" s="485">
        <f t="shared" si="44"/>
        <v>405837.74966119532</v>
      </c>
      <c r="AD100" s="485">
        <f t="shared" si="44"/>
        <v>419809.0711064199</v>
      </c>
      <c r="AE100" s="485">
        <f t="shared" si="44"/>
        <v>434058.88698137738</v>
      </c>
      <c r="AF100" s="485">
        <f t="shared" si="44"/>
        <v>448591.92516737897</v>
      </c>
      <c r="AG100" s="485">
        <f t="shared" si="44"/>
        <v>463412.98802566715</v>
      </c>
      <c r="AH100" s="485">
        <f t="shared" si="44"/>
        <v>478526.95352303097</v>
      </c>
      <c r="AI100" s="485">
        <f t="shared" ref="AI100:AM100" si="45">AI98-AI95</f>
        <v>493938.77637400758</v>
      </c>
      <c r="AJ100" s="485">
        <f t="shared" si="45"/>
        <v>509653.48919991497</v>
      </c>
      <c r="AK100" s="485">
        <f t="shared" si="45"/>
        <v>525676.20370495133</v>
      </c>
      <c r="AL100" s="485">
        <f t="shared" si="45"/>
        <v>542012.11186962062</v>
      </c>
      <c r="AM100" s="485">
        <f t="shared" si="45"/>
        <v>558666.48716172343</v>
      </c>
    </row>
    <row r="101" spans="1:39" ht="12.75" customHeight="1" x14ac:dyDescent="0.2">
      <c r="B101" s="247"/>
    </row>
    <row r="102" spans="1:39" x14ac:dyDescent="0.2">
      <c r="A102" s="235" t="s">
        <v>600</v>
      </c>
    </row>
    <row r="103" spans="1:39" s="515" customFormat="1" x14ac:dyDescent="0.2">
      <c r="A103" s="479" t="s">
        <v>33</v>
      </c>
      <c r="B103" s="498" t="s">
        <v>508</v>
      </c>
      <c r="C103" s="781">
        <v>2023</v>
      </c>
      <c r="D103" s="481">
        <v>2024</v>
      </c>
      <c r="E103" s="481">
        <v>2025</v>
      </c>
      <c r="F103" s="481">
        <v>2026</v>
      </c>
      <c r="G103" s="481">
        <v>2027</v>
      </c>
      <c r="H103" s="481">
        <v>2028</v>
      </c>
      <c r="I103" s="481">
        <v>2029</v>
      </c>
      <c r="J103" s="481">
        <v>2030</v>
      </c>
      <c r="K103" s="481">
        <v>2031</v>
      </c>
      <c r="L103" s="481">
        <v>2032</v>
      </c>
      <c r="M103" s="481">
        <v>2033</v>
      </c>
      <c r="N103" s="481">
        <v>2034</v>
      </c>
      <c r="O103" s="481">
        <v>2035</v>
      </c>
      <c r="P103" s="481">
        <v>2036</v>
      </c>
      <c r="Q103" s="481">
        <v>2037</v>
      </c>
      <c r="R103" s="481">
        <v>2038</v>
      </c>
      <c r="S103" s="481">
        <v>2039</v>
      </c>
      <c r="T103" s="481">
        <v>2040</v>
      </c>
      <c r="U103" s="481">
        <v>2041</v>
      </c>
      <c r="V103" s="481">
        <v>2042</v>
      </c>
      <c r="W103" s="481">
        <v>2043</v>
      </c>
      <c r="X103" s="481">
        <v>2044</v>
      </c>
      <c r="Y103" s="481">
        <v>2045</v>
      </c>
      <c r="Z103" s="481">
        <v>2046</v>
      </c>
      <c r="AA103" s="481">
        <v>2047</v>
      </c>
      <c r="AB103" s="481">
        <v>2048</v>
      </c>
      <c r="AC103" s="481">
        <v>2049</v>
      </c>
      <c r="AD103" s="481">
        <v>2050</v>
      </c>
      <c r="AE103" s="481">
        <v>2051</v>
      </c>
      <c r="AF103" s="481">
        <v>2052</v>
      </c>
      <c r="AG103" s="481">
        <v>2053</v>
      </c>
      <c r="AH103" s="481">
        <v>2054</v>
      </c>
      <c r="AI103" s="481">
        <v>2055</v>
      </c>
      <c r="AJ103" s="481">
        <v>2056</v>
      </c>
      <c r="AK103" s="481">
        <v>2057</v>
      </c>
      <c r="AL103" s="481">
        <v>2058</v>
      </c>
      <c r="AM103" s="481">
        <v>2059</v>
      </c>
    </row>
    <row r="104" spans="1:39" x14ac:dyDescent="0.2">
      <c r="A104" s="232" t="s">
        <v>583</v>
      </c>
      <c r="B104" s="532"/>
      <c r="C104" s="496">
        <f t="shared" ref="C104:AH104" si="46">C65</f>
        <v>1</v>
      </c>
      <c r="D104" s="496">
        <f t="shared" si="46"/>
        <v>1.0049999999999999</v>
      </c>
      <c r="E104" s="496">
        <f t="shared" si="46"/>
        <v>1.0049999999999999</v>
      </c>
      <c r="F104" s="496">
        <f t="shared" si="46"/>
        <v>1.0049999999999999</v>
      </c>
      <c r="G104" s="496">
        <f t="shared" si="46"/>
        <v>1.0049999999999999</v>
      </c>
      <c r="H104" s="496">
        <f t="shared" si="46"/>
        <v>1.0049999999999999</v>
      </c>
      <c r="I104" s="496">
        <f t="shared" si="46"/>
        <v>1.0049999999999999</v>
      </c>
      <c r="J104" s="496">
        <f t="shared" si="46"/>
        <v>1.0049999999999999</v>
      </c>
      <c r="K104" s="496">
        <f t="shared" si="46"/>
        <v>1.0049999999999999</v>
      </c>
      <c r="L104" s="496">
        <f t="shared" si="46"/>
        <v>1.0049999999999999</v>
      </c>
      <c r="M104" s="496">
        <f t="shared" si="46"/>
        <v>1.0049999999999999</v>
      </c>
      <c r="N104" s="496">
        <f t="shared" si="46"/>
        <v>1.0049999999999999</v>
      </c>
      <c r="O104" s="496">
        <f t="shared" si="46"/>
        <v>1.0049999999999999</v>
      </c>
      <c r="P104" s="496">
        <f t="shared" si="46"/>
        <v>1.0049999999999999</v>
      </c>
      <c r="Q104" s="496">
        <f t="shared" si="46"/>
        <v>1.0049999999999999</v>
      </c>
      <c r="R104" s="496">
        <f t="shared" si="46"/>
        <v>1.0049999999999999</v>
      </c>
      <c r="S104" s="496">
        <f t="shared" si="46"/>
        <v>1.0049999999999999</v>
      </c>
      <c r="T104" s="496">
        <f t="shared" si="46"/>
        <v>1.0049999999999999</v>
      </c>
      <c r="U104" s="496">
        <f t="shared" si="46"/>
        <v>1.0049999999999999</v>
      </c>
      <c r="V104" s="496">
        <f t="shared" si="46"/>
        <v>1.0049999999999999</v>
      </c>
      <c r="W104" s="496">
        <f t="shared" si="46"/>
        <v>1.0049999999999999</v>
      </c>
      <c r="X104" s="496">
        <f t="shared" si="46"/>
        <v>1.0049999999999999</v>
      </c>
      <c r="Y104" s="496">
        <f t="shared" si="46"/>
        <v>1.0049999999999999</v>
      </c>
      <c r="Z104" s="496">
        <f t="shared" si="46"/>
        <v>1.0049999999999999</v>
      </c>
      <c r="AA104" s="496">
        <f t="shared" si="46"/>
        <v>1.0049999999999999</v>
      </c>
      <c r="AB104" s="496">
        <f t="shared" si="46"/>
        <v>1.0049999999999999</v>
      </c>
      <c r="AC104" s="496">
        <f t="shared" si="46"/>
        <v>1.0049999999999999</v>
      </c>
      <c r="AD104" s="496">
        <f t="shared" si="46"/>
        <v>1.0049999999999999</v>
      </c>
      <c r="AE104" s="496">
        <f t="shared" si="46"/>
        <v>1.0049999999999999</v>
      </c>
      <c r="AF104" s="496">
        <f t="shared" si="46"/>
        <v>1.0049999999999999</v>
      </c>
      <c r="AG104" s="496">
        <f t="shared" si="46"/>
        <v>1.0049999999999999</v>
      </c>
      <c r="AH104" s="496">
        <f t="shared" si="46"/>
        <v>1.0049999999999999</v>
      </c>
      <c r="AI104" s="496">
        <f t="shared" ref="AI104:AM104" si="47">AI65</f>
        <v>1.0049999999999999</v>
      </c>
      <c r="AJ104" s="496">
        <f t="shared" si="47"/>
        <v>1.0049999999999999</v>
      </c>
      <c r="AK104" s="496">
        <f t="shared" si="47"/>
        <v>1.0049999999999999</v>
      </c>
      <c r="AL104" s="496">
        <f t="shared" si="47"/>
        <v>1.0049999999999999</v>
      </c>
      <c r="AM104" s="496">
        <f t="shared" si="47"/>
        <v>1.0049999999999999</v>
      </c>
    </row>
    <row r="105" spans="1:39" x14ac:dyDescent="0.2">
      <c r="A105" s="533" t="str">
        <f>A11</f>
        <v>Spotreba energie</v>
      </c>
      <c r="B105" s="533"/>
      <c r="C105" s="777">
        <f>D28</f>
        <v>1.320190574298223</v>
      </c>
      <c r="D105" s="534"/>
      <c r="E105" s="534"/>
      <c r="F105" s="534"/>
      <c r="G105" s="534"/>
      <c r="H105" s="534"/>
      <c r="I105" s="534"/>
      <c r="J105" s="534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34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34"/>
      <c r="AH105" s="534"/>
      <c r="AI105" s="534"/>
      <c r="AJ105" s="534"/>
      <c r="AK105" s="534"/>
      <c r="AL105" s="534"/>
      <c r="AM105" s="534"/>
    </row>
    <row r="106" spans="1:39" x14ac:dyDescent="0.2">
      <c r="A106" s="525" t="s">
        <v>584</v>
      </c>
      <c r="B106" s="485">
        <f>SUM(E106:AM106)</f>
        <v>65424353.40286047</v>
      </c>
      <c r="C106" s="527">
        <f>C4*$C$105*C104</f>
        <v>1698108.3280968321</v>
      </c>
      <c r="D106" s="527">
        <f t="shared" ref="D106:AH106" si="48">C106*D104</f>
        <v>1706598.8697373162</v>
      </c>
      <c r="E106" s="527">
        <f t="shared" si="48"/>
        <v>1715131.8640860026</v>
      </c>
      <c r="F106" s="527">
        <f t="shared" si="48"/>
        <v>1723707.5234064325</v>
      </c>
      <c r="G106" s="527">
        <f t="shared" si="48"/>
        <v>1732326.0610234644</v>
      </c>
      <c r="H106" s="527">
        <f t="shared" si="48"/>
        <v>1740987.6913285817</v>
      </c>
      <c r="I106" s="527">
        <f t="shared" si="48"/>
        <v>1749692.6297852243</v>
      </c>
      <c r="J106" s="527">
        <f t="shared" si="48"/>
        <v>1758441.0929341502</v>
      </c>
      <c r="K106" s="527">
        <f t="shared" si="48"/>
        <v>1767233.2983988209</v>
      </c>
      <c r="L106" s="527">
        <f t="shared" si="48"/>
        <v>1776069.4648908149</v>
      </c>
      <c r="M106" s="527">
        <f t="shared" si="48"/>
        <v>1784949.8122152688</v>
      </c>
      <c r="N106" s="527">
        <f t="shared" si="48"/>
        <v>1793874.561276345</v>
      </c>
      <c r="O106" s="527">
        <f t="shared" si="48"/>
        <v>1802843.9340827265</v>
      </c>
      <c r="P106" s="527">
        <f t="shared" si="48"/>
        <v>1811858.15375314</v>
      </c>
      <c r="Q106" s="527">
        <f t="shared" si="48"/>
        <v>1820917.4445219056</v>
      </c>
      <c r="R106" s="527">
        <f t="shared" si="48"/>
        <v>1830022.0317445151</v>
      </c>
      <c r="S106" s="527">
        <f t="shared" si="48"/>
        <v>1839172.1419032374</v>
      </c>
      <c r="T106" s="527">
        <f t="shared" si="48"/>
        <v>1848368.0026127535</v>
      </c>
      <c r="U106" s="527">
        <f t="shared" si="48"/>
        <v>1857609.8426258171</v>
      </c>
      <c r="V106" s="527">
        <f t="shared" si="48"/>
        <v>1866897.8918389459</v>
      </c>
      <c r="W106" s="527">
        <f t="shared" si="48"/>
        <v>1876232.3812981404</v>
      </c>
      <c r="X106" s="527">
        <f t="shared" si="48"/>
        <v>1885613.543204631</v>
      </c>
      <c r="Y106" s="527">
        <f t="shared" si="48"/>
        <v>1895041.6109206539</v>
      </c>
      <c r="Z106" s="527">
        <f t="shared" si="48"/>
        <v>1904516.818975257</v>
      </c>
      <c r="AA106" s="527">
        <f t="shared" si="48"/>
        <v>1914039.4030701332</v>
      </c>
      <c r="AB106" s="527">
        <f t="shared" si="48"/>
        <v>1923609.6000854836</v>
      </c>
      <c r="AC106" s="527">
        <f t="shared" si="48"/>
        <v>1933227.6480859108</v>
      </c>
      <c r="AD106" s="527">
        <f t="shared" si="48"/>
        <v>1942893.7863263402</v>
      </c>
      <c r="AE106" s="527">
        <f t="shared" si="48"/>
        <v>1952608.2552579716</v>
      </c>
      <c r="AF106" s="527">
        <f t="shared" si="48"/>
        <v>1962371.2965342612</v>
      </c>
      <c r="AG106" s="527">
        <f t="shared" si="48"/>
        <v>1972183.1530169323</v>
      </c>
      <c r="AH106" s="527">
        <f t="shared" si="48"/>
        <v>1982044.0687820169</v>
      </c>
      <c r="AI106" s="527">
        <f t="shared" ref="AI106" si="49">AH106*AI104</f>
        <v>1991954.2891259268</v>
      </c>
      <c r="AJ106" s="527">
        <f t="shared" ref="AJ106" si="50">AI106*AJ104</f>
        <v>2001914.0605715562</v>
      </c>
      <c r="AK106" s="527">
        <f t="shared" ref="AK106" si="51">AJ106*AK104</f>
        <v>2011923.6308744138</v>
      </c>
      <c r="AL106" s="527">
        <f t="shared" ref="AL106" si="52">AK106*AL104</f>
        <v>2021983.2490287856</v>
      </c>
      <c r="AM106" s="527">
        <f t="shared" ref="AM106" si="53">AL106*AM104</f>
        <v>2032093.1652739292</v>
      </c>
    </row>
    <row r="107" spans="1:39" x14ac:dyDescent="0.2">
      <c r="A107" s="528" t="s">
        <v>34</v>
      </c>
      <c r="B107" s="535" t="s">
        <v>508</v>
      </c>
      <c r="C107" s="779"/>
      <c r="D107" s="782"/>
      <c r="E107" s="536"/>
      <c r="F107" s="536"/>
      <c r="G107" s="536"/>
      <c r="H107" s="536"/>
      <c r="I107" s="536"/>
      <c r="J107" s="536"/>
      <c r="K107" s="536"/>
      <c r="L107" s="536"/>
      <c r="M107" s="536"/>
      <c r="N107" s="536"/>
      <c r="O107" s="536"/>
      <c r="P107" s="536"/>
      <c r="Q107" s="536"/>
      <c r="R107" s="536"/>
      <c r="S107" s="536"/>
      <c r="T107" s="536"/>
      <c r="U107" s="536"/>
      <c r="V107" s="536"/>
      <c r="W107" s="536"/>
      <c r="X107" s="536"/>
      <c r="Y107" s="536"/>
      <c r="Z107" s="536"/>
      <c r="AA107" s="536"/>
      <c r="AB107" s="536"/>
      <c r="AC107" s="536"/>
      <c r="AD107" s="536"/>
      <c r="AE107" s="536"/>
      <c r="AF107" s="536"/>
      <c r="AG107" s="537"/>
      <c r="AH107" s="537"/>
      <c r="AI107" s="536"/>
      <c r="AJ107" s="537"/>
      <c r="AK107" s="537"/>
      <c r="AL107" s="536"/>
      <c r="AM107" s="537"/>
    </row>
    <row r="108" spans="1:39" x14ac:dyDescent="0.2">
      <c r="A108" s="232" t="s">
        <v>582</v>
      </c>
      <c r="B108" s="532"/>
      <c r="C108" s="496">
        <f t="shared" ref="C108:AH108" si="54">C66</f>
        <v>1</v>
      </c>
      <c r="D108" s="496">
        <f t="shared" si="54"/>
        <v>1.0049999999999999</v>
      </c>
      <c r="E108" s="496">
        <f t="shared" si="54"/>
        <v>1.0049999999999999</v>
      </c>
      <c r="F108" s="496">
        <f t="shared" si="54"/>
        <v>1.0049999999999999</v>
      </c>
      <c r="G108" s="496">
        <f t="shared" si="54"/>
        <v>1.0049999999999999</v>
      </c>
      <c r="H108" s="496">
        <f t="shared" si="54"/>
        <v>1.006</v>
      </c>
      <c r="I108" s="496">
        <f t="shared" si="54"/>
        <v>1.006</v>
      </c>
      <c r="J108" s="496">
        <f t="shared" si="54"/>
        <v>1.006</v>
      </c>
      <c r="K108" s="496">
        <f t="shared" si="54"/>
        <v>1.006</v>
      </c>
      <c r="L108" s="496">
        <f t="shared" si="54"/>
        <v>1.006</v>
      </c>
      <c r="M108" s="496">
        <f t="shared" si="54"/>
        <v>1.006</v>
      </c>
      <c r="N108" s="496">
        <f t="shared" si="54"/>
        <v>1.006</v>
      </c>
      <c r="O108" s="496">
        <f t="shared" si="54"/>
        <v>1.006</v>
      </c>
      <c r="P108" s="496">
        <f t="shared" si="54"/>
        <v>1.006</v>
      </c>
      <c r="Q108" s="496">
        <f t="shared" si="54"/>
        <v>1.006</v>
      </c>
      <c r="R108" s="496">
        <f t="shared" si="54"/>
        <v>1.006</v>
      </c>
      <c r="S108" s="496">
        <f t="shared" si="54"/>
        <v>1.006</v>
      </c>
      <c r="T108" s="496">
        <f t="shared" si="54"/>
        <v>1.006</v>
      </c>
      <c r="U108" s="496">
        <f t="shared" si="54"/>
        <v>1.006</v>
      </c>
      <c r="V108" s="496">
        <f t="shared" si="54"/>
        <v>1.006</v>
      </c>
      <c r="W108" s="496">
        <f t="shared" si="54"/>
        <v>1.006</v>
      </c>
      <c r="X108" s="496">
        <f t="shared" si="54"/>
        <v>1.006</v>
      </c>
      <c r="Y108" s="496">
        <f t="shared" si="54"/>
        <v>1.006</v>
      </c>
      <c r="Z108" s="496">
        <f t="shared" si="54"/>
        <v>1.006</v>
      </c>
      <c r="AA108" s="496">
        <f t="shared" si="54"/>
        <v>1.006</v>
      </c>
      <c r="AB108" s="496">
        <f t="shared" si="54"/>
        <v>1.006</v>
      </c>
      <c r="AC108" s="496">
        <f t="shared" si="54"/>
        <v>1.006</v>
      </c>
      <c r="AD108" s="496">
        <f t="shared" si="54"/>
        <v>1.006</v>
      </c>
      <c r="AE108" s="496">
        <f t="shared" si="54"/>
        <v>1.006</v>
      </c>
      <c r="AF108" s="496">
        <f t="shared" si="54"/>
        <v>1.006</v>
      </c>
      <c r="AG108" s="496">
        <f t="shared" si="54"/>
        <v>1.006</v>
      </c>
      <c r="AH108" s="496">
        <f t="shared" si="54"/>
        <v>1.006</v>
      </c>
      <c r="AI108" s="496">
        <f t="shared" ref="AI108:AM108" si="55">AI66</f>
        <v>1.006</v>
      </c>
      <c r="AJ108" s="496">
        <f t="shared" si="55"/>
        <v>1.006</v>
      </c>
      <c r="AK108" s="496">
        <f t="shared" si="55"/>
        <v>1.006</v>
      </c>
      <c r="AL108" s="496">
        <f t="shared" si="55"/>
        <v>1.006</v>
      </c>
      <c r="AM108" s="496">
        <f t="shared" si="55"/>
        <v>1.006</v>
      </c>
    </row>
    <row r="109" spans="1:39" x14ac:dyDescent="0.2">
      <c r="A109" s="525" t="s">
        <v>585</v>
      </c>
      <c r="B109" s="485">
        <f>SUM(E109:AM109)</f>
        <v>73693862.948380873</v>
      </c>
      <c r="C109" s="527">
        <f>C5*$C$105*C108</f>
        <v>1698108.3280968321</v>
      </c>
      <c r="D109" s="527">
        <f>C109*D108</f>
        <v>1706598.8697373162</v>
      </c>
      <c r="E109" s="527">
        <f>D109*E108</f>
        <v>1715131.8640860026</v>
      </c>
      <c r="F109" s="527">
        <f>E109*F108</f>
        <v>1723707.5234064325</v>
      </c>
      <c r="G109" s="527">
        <f>F109*G108</f>
        <v>1732326.0610234644</v>
      </c>
      <c r="H109" s="527">
        <f>H5*$C$105*H108</f>
        <v>1948738.3234457891</v>
      </c>
      <c r="I109" s="527">
        <f>H109*I108</f>
        <v>1960430.7533864637</v>
      </c>
      <c r="J109" s="527">
        <f t="shared" ref="J109:AH109" si="56">I109*J108</f>
        <v>1972193.3379067825</v>
      </c>
      <c r="K109" s="527">
        <f t="shared" si="56"/>
        <v>1984026.4979342232</v>
      </c>
      <c r="L109" s="527">
        <f t="shared" si="56"/>
        <v>1995930.6569218284</v>
      </c>
      <c r="M109" s="527">
        <f t="shared" si="56"/>
        <v>2007906.2408633593</v>
      </c>
      <c r="N109" s="527">
        <f t="shared" si="56"/>
        <v>2019953.6783085396</v>
      </c>
      <c r="O109" s="527">
        <f t="shared" si="56"/>
        <v>2032073.4003783909</v>
      </c>
      <c r="P109" s="527">
        <f t="shared" si="56"/>
        <v>2044265.8407806612</v>
      </c>
      <c r="Q109" s="527">
        <f t="shared" si="56"/>
        <v>2056531.4358253451</v>
      </c>
      <c r="R109" s="527">
        <f t="shared" si="56"/>
        <v>2068870.6244402973</v>
      </c>
      <c r="S109" s="527">
        <f t="shared" si="56"/>
        <v>2081283.848186939</v>
      </c>
      <c r="T109" s="527">
        <f t="shared" si="56"/>
        <v>2093771.5512760608</v>
      </c>
      <c r="U109" s="527">
        <f t="shared" si="56"/>
        <v>2106334.1805837173</v>
      </c>
      <c r="V109" s="527">
        <f t="shared" si="56"/>
        <v>2118972.1856672196</v>
      </c>
      <c r="W109" s="527">
        <f t="shared" si="56"/>
        <v>2131686.0187812229</v>
      </c>
      <c r="X109" s="527">
        <f t="shared" si="56"/>
        <v>2144476.13489391</v>
      </c>
      <c r="Y109" s="527">
        <f t="shared" si="56"/>
        <v>2157342.9917032737</v>
      </c>
      <c r="Z109" s="527">
        <f t="shared" si="56"/>
        <v>2170287.0496534933</v>
      </c>
      <c r="AA109" s="527">
        <f t="shared" si="56"/>
        <v>2183308.7719514142</v>
      </c>
      <c r="AB109" s="527">
        <f t="shared" si="56"/>
        <v>2196408.6245831228</v>
      </c>
      <c r="AC109" s="527">
        <f t="shared" si="56"/>
        <v>2209587.0763306217</v>
      </c>
      <c r="AD109" s="527">
        <f t="shared" si="56"/>
        <v>2222844.5987886055</v>
      </c>
      <c r="AE109" s="527">
        <f t="shared" si="56"/>
        <v>2236181.6663813372</v>
      </c>
      <c r="AF109" s="527">
        <f t="shared" si="56"/>
        <v>2249598.7563796253</v>
      </c>
      <c r="AG109" s="527">
        <f t="shared" si="56"/>
        <v>2263096.3489179029</v>
      </c>
      <c r="AH109" s="527">
        <f t="shared" si="56"/>
        <v>2276674.9270114102</v>
      </c>
      <c r="AI109" s="527">
        <f t="shared" ref="AI109" si="57">AH109*AI108</f>
        <v>2290334.9765734789</v>
      </c>
      <c r="AJ109" s="527">
        <f t="shared" ref="AJ109" si="58">AI109*AJ108</f>
        <v>2304076.9864329197</v>
      </c>
      <c r="AK109" s="527">
        <f t="shared" ref="AK109" si="59">AJ109*AK108</f>
        <v>2317901.4483515173</v>
      </c>
      <c r="AL109" s="527">
        <f t="shared" ref="AL109" si="60">AK109*AL108</f>
        <v>2331808.8570416262</v>
      </c>
      <c r="AM109" s="527">
        <f t="shared" ref="AM109" si="61">AL109*AM108</f>
        <v>2345799.7101838761</v>
      </c>
    </row>
    <row r="110" spans="1:39" x14ac:dyDescent="0.2">
      <c r="D110" s="780"/>
    </row>
    <row r="111" spans="1:39" x14ac:dyDescent="0.2">
      <c r="A111" s="531" t="s">
        <v>618</v>
      </c>
      <c r="B111" s="485">
        <f>SUM(E111:AM111)</f>
        <v>8269509.5455203839</v>
      </c>
      <c r="C111" s="485">
        <f t="shared" ref="C111:AH111" si="62">C109-C106</f>
        <v>0</v>
      </c>
      <c r="D111" s="485">
        <f t="shared" si="62"/>
        <v>0</v>
      </c>
      <c r="E111" s="485">
        <f t="shared" si="62"/>
        <v>0</v>
      </c>
      <c r="F111" s="485">
        <f t="shared" si="62"/>
        <v>0</v>
      </c>
      <c r="G111" s="485">
        <f>G109-G106</f>
        <v>0</v>
      </c>
      <c r="H111" s="485">
        <f>H109-H106</f>
        <v>207750.63211720739</v>
      </c>
      <c r="I111" s="485">
        <f>I109-I106</f>
        <v>210738.12360123941</v>
      </c>
      <c r="J111" s="485">
        <f t="shared" si="62"/>
        <v>213752.24497263227</v>
      </c>
      <c r="K111" s="485">
        <f t="shared" si="62"/>
        <v>216793.19953540224</v>
      </c>
      <c r="L111" s="485">
        <f t="shared" si="62"/>
        <v>219861.19203101355</v>
      </c>
      <c r="M111" s="485">
        <f t="shared" si="62"/>
        <v>222956.42864809046</v>
      </c>
      <c r="N111" s="485">
        <f t="shared" si="62"/>
        <v>226079.11703219451</v>
      </c>
      <c r="O111" s="485">
        <f>O109-O106</f>
        <v>229229.46629566443</v>
      </c>
      <c r="P111" s="485">
        <f t="shared" si="62"/>
        <v>232407.6870275212</v>
      </c>
      <c r="Q111" s="485">
        <f t="shared" si="62"/>
        <v>235613.99130343948</v>
      </c>
      <c r="R111" s="485">
        <f t="shared" si="62"/>
        <v>238848.59269578219</v>
      </c>
      <c r="S111" s="485">
        <f t="shared" si="62"/>
        <v>242111.70628370158</v>
      </c>
      <c r="T111" s="485">
        <f t="shared" si="62"/>
        <v>245403.54866330721</v>
      </c>
      <c r="U111" s="485">
        <f t="shared" si="62"/>
        <v>248724.33795790025</v>
      </c>
      <c r="V111" s="485">
        <f t="shared" si="62"/>
        <v>252074.29382827366</v>
      </c>
      <c r="W111" s="485">
        <f t="shared" si="62"/>
        <v>255453.63748308248</v>
      </c>
      <c r="X111" s="485">
        <f t="shared" si="62"/>
        <v>258862.59168927907</v>
      </c>
      <c r="Y111" s="485">
        <f t="shared" si="62"/>
        <v>262301.38078261982</v>
      </c>
      <c r="Z111" s="485">
        <f t="shared" si="62"/>
        <v>265770.23067823634</v>
      </c>
      <c r="AA111" s="485">
        <f t="shared" si="62"/>
        <v>269269.368881281</v>
      </c>
      <c r="AB111" s="485">
        <f t="shared" si="62"/>
        <v>272799.02449763916</v>
      </c>
      <c r="AC111" s="485">
        <f t="shared" si="62"/>
        <v>276359.4282447109</v>
      </c>
      <c r="AD111" s="485">
        <f t="shared" si="62"/>
        <v>279950.81246226537</v>
      </c>
      <c r="AE111" s="485">
        <f t="shared" si="62"/>
        <v>283573.41112336563</v>
      </c>
      <c r="AF111" s="485">
        <f t="shared" si="62"/>
        <v>287227.45984536409</v>
      </c>
      <c r="AG111" s="485">
        <f t="shared" si="62"/>
        <v>290913.1959009706</v>
      </c>
      <c r="AH111" s="485">
        <f t="shared" si="62"/>
        <v>294630.85822939337</v>
      </c>
      <c r="AI111" s="485">
        <f t="shared" ref="AI111:AM111" si="63">AI109-AI106</f>
        <v>298380.6874475521</v>
      </c>
      <c r="AJ111" s="485">
        <f t="shared" si="63"/>
        <v>302162.92586136353</v>
      </c>
      <c r="AK111" s="485">
        <f t="shared" si="63"/>
        <v>305977.81747710356</v>
      </c>
      <c r="AL111" s="485">
        <f t="shared" si="63"/>
        <v>309825.60801284062</v>
      </c>
      <c r="AM111" s="485">
        <f t="shared" si="63"/>
        <v>313706.54490994685</v>
      </c>
    </row>
    <row r="112" spans="1:39" ht="12.75" customHeight="1" x14ac:dyDescent="0.2">
      <c r="B112" s="247"/>
    </row>
    <row r="113" spans="1:39" x14ac:dyDescent="0.2">
      <c r="A113" s="235" t="s">
        <v>619</v>
      </c>
    </row>
    <row r="114" spans="1:39" s="515" customFormat="1" x14ac:dyDescent="0.2">
      <c r="A114" s="479" t="s">
        <v>33</v>
      </c>
      <c r="B114" s="498" t="s">
        <v>508</v>
      </c>
      <c r="C114" s="481">
        <v>2023</v>
      </c>
      <c r="D114" s="481">
        <v>2024</v>
      </c>
      <c r="E114" s="481">
        <v>2025</v>
      </c>
      <c r="F114" s="481">
        <v>2026</v>
      </c>
      <c r="G114" s="481">
        <v>2027</v>
      </c>
      <c r="H114" s="481">
        <v>2028</v>
      </c>
      <c r="I114" s="481">
        <v>2029</v>
      </c>
      <c r="J114" s="481">
        <v>2030</v>
      </c>
      <c r="K114" s="481">
        <v>2031</v>
      </c>
      <c r="L114" s="481">
        <v>2032</v>
      </c>
      <c r="M114" s="481">
        <v>2033</v>
      </c>
      <c r="N114" s="481">
        <v>2034</v>
      </c>
      <c r="O114" s="481">
        <v>2035</v>
      </c>
      <c r="P114" s="481">
        <v>2036</v>
      </c>
      <c r="Q114" s="481">
        <v>2037</v>
      </c>
      <c r="R114" s="481">
        <v>2038</v>
      </c>
      <c r="S114" s="481">
        <v>2039</v>
      </c>
      <c r="T114" s="481">
        <v>2040</v>
      </c>
      <c r="U114" s="481">
        <v>2041</v>
      </c>
      <c r="V114" s="481">
        <v>2042</v>
      </c>
      <c r="W114" s="481">
        <v>2043</v>
      </c>
      <c r="X114" s="481">
        <v>2044</v>
      </c>
      <c r="Y114" s="481">
        <v>2045</v>
      </c>
      <c r="Z114" s="481">
        <v>2046</v>
      </c>
      <c r="AA114" s="481">
        <v>2047</v>
      </c>
      <c r="AB114" s="481">
        <v>2048</v>
      </c>
      <c r="AC114" s="481">
        <v>2049</v>
      </c>
      <c r="AD114" s="481">
        <v>2050</v>
      </c>
      <c r="AE114" s="481">
        <v>2051</v>
      </c>
      <c r="AF114" s="481">
        <v>2052</v>
      </c>
      <c r="AG114" s="481">
        <v>2053</v>
      </c>
      <c r="AH114" s="481">
        <v>2054</v>
      </c>
      <c r="AI114" s="481">
        <v>2055</v>
      </c>
      <c r="AJ114" s="481">
        <v>2056</v>
      </c>
      <c r="AK114" s="481">
        <v>2057</v>
      </c>
      <c r="AL114" s="481">
        <v>2058</v>
      </c>
      <c r="AM114" s="481">
        <v>2059</v>
      </c>
    </row>
    <row r="115" spans="1:39" x14ac:dyDescent="0.2">
      <c r="A115" s="232" t="s">
        <v>582</v>
      </c>
      <c r="B115" s="232"/>
      <c r="C115" s="496">
        <f t="shared" ref="C115:AH115" si="64">C68</f>
        <v>1</v>
      </c>
      <c r="D115" s="496">
        <f t="shared" si="64"/>
        <v>1.02</v>
      </c>
      <c r="E115" s="496">
        <f t="shared" si="64"/>
        <v>1.02</v>
      </c>
      <c r="F115" s="496">
        <f t="shared" si="64"/>
        <v>1.02</v>
      </c>
      <c r="G115" s="496">
        <f t="shared" si="64"/>
        <v>1.02</v>
      </c>
      <c r="H115" s="496">
        <f t="shared" si="64"/>
        <v>1.02</v>
      </c>
      <c r="I115" s="496">
        <f t="shared" si="64"/>
        <v>1.02</v>
      </c>
      <c r="J115" s="496">
        <f t="shared" si="64"/>
        <v>1.02</v>
      </c>
      <c r="K115" s="496">
        <f t="shared" si="64"/>
        <v>1.02</v>
      </c>
      <c r="L115" s="496">
        <f t="shared" si="64"/>
        <v>1.02</v>
      </c>
      <c r="M115" s="496">
        <f t="shared" si="64"/>
        <v>1.02</v>
      </c>
      <c r="N115" s="496">
        <f t="shared" si="64"/>
        <v>1.02</v>
      </c>
      <c r="O115" s="496">
        <f t="shared" si="64"/>
        <v>1.02</v>
      </c>
      <c r="P115" s="496">
        <f t="shared" si="64"/>
        <v>1.02</v>
      </c>
      <c r="Q115" s="496">
        <f t="shared" si="64"/>
        <v>1.02</v>
      </c>
      <c r="R115" s="496">
        <f t="shared" si="64"/>
        <v>1.02</v>
      </c>
      <c r="S115" s="496">
        <f t="shared" si="64"/>
        <v>1.02</v>
      </c>
      <c r="T115" s="496">
        <f t="shared" si="64"/>
        <v>1.02</v>
      </c>
      <c r="U115" s="496">
        <f t="shared" si="64"/>
        <v>1.02</v>
      </c>
      <c r="V115" s="496">
        <f t="shared" si="64"/>
        <v>1.02</v>
      </c>
      <c r="W115" s="496">
        <f t="shared" si="64"/>
        <v>1.02</v>
      </c>
      <c r="X115" s="496">
        <f t="shared" si="64"/>
        <v>1.02</v>
      </c>
      <c r="Y115" s="496">
        <f t="shared" si="64"/>
        <v>1.02</v>
      </c>
      <c r="Z115" s="496">
        <f t="shared" si="64"/>
        <v>1.02</v>
      </c>
      <c r="AA115" s="496">
        <f t="shared" si="64"/>
        <v>1.02</v>
      </c>
      <c r="AB115" s="496">
        <f t="shared" si="64"/>
        <v>1.02</v>
      </c>
      <c r="AC115" s="496">
        <f t="shared" si="64"/>
        <v>1.02</v>
      </c>
      <c r="AD115" s="496">
        <f t="shared" si="64"/>
        <v>1.02</v>
      </c>
      <c r="AE115" s="496">
        <f t="shared" si="64"/>
        <v>1.02</v>
      </c>
      <c r="AF115" s="496">
        <f t="shared" si="64"/>
        <v>1.02</v>
      </c>
      <c r="AG115" s="496">
        <f t="shared" si="64"/>
        <v>1.02</v>
      </c>
      <c r="AH115" s="496">
        <f t="shared" si="64"/>
        <v>1.02</v>
      </c>
      <c r="AI115" s="496">
        <f t="shared" ref="AI115:AM115" si="65">AI68</f>
        <v>1.02</v>
      </c>
      <c r="AJ115" s="496">
        <f t="shared" si="65"/>
        <v>1.02</v>
      </c>
      <c r="AK115" s="496">
        <f t="shared" si="65"/>
        <v>1.02</v>
      </c>
      <c r="AL115" s="496">
        <f t="shared" si="65"/>
        <v>1.02</v>
      </c>
      <c r="AM115" s="496">
        <f t="shared" si="65"/>
        <v>1.02</v>
      </c>
    </row>
    <row r="116" spans="1:39" x14ac:dyDescent="0.2">
      <c r="A116" s="538" t="str">
        <f>A12</f>
        <v>Osobné výdavky</v>
      </c>
      <c r="B116" s="496"/>
      <c r="C116" s="783">
        <f>$D$29</f>
        <v>2.9427246973989183</v>
      </c>
      <c r="D116" s="539"/>
      <c r="E116" s="539"/>
      <c r="F116" s="539"/>
      <c r="G116" s="539"/>
      <c r="H116" s="539"/>
      <c r="I116" s="539"/>
      <c r="J116" s="539"/>
      <c r="K116" s="539"/>
      <c r="L116" s="539"/>
      <c r="M116" s="539"/>
      <c r="N116" s="539"/>
      <c r="O116" s="539"/>
      <c r="P116" s="539"/>
      <c r="Q116" s="539"/>
      <c r="R116" s="539"/>
      <c r="S116" s="539"/>
      <c r="T116" s="539"/>
      <c r="U116" s="539"/>
      <c r="V116" s="539"/>
      <c r="W116" s="539"/>
      <c r="X116" s="539"/>
      <c r="Y116" s="539"/>
      <c r="Z116" s="539"/>
      <c r="AA116" s="539"/>
      <c r="AB116" s="539"/>
      <c r="AC116" s="539"/>
      <c r="AD116" s="539"/>
      <c r="AE116" s="539"/>
      <c r="AF116" s="539"/>
      <c r="AG116" s="539"/>
      <c r="AH116" s="539"/>
      <c r="AI116" s="539"/>
      <c r="AJ116" s="539"/>
      <c r="AK116" s="539"/>
      <c r="AL116" s="539"/>
      <c r="AM116" s="539"/>
    </row>
    <row r="117" spans="1:39" x14ac:dyDescent="0.2">
      <c r="A117" s="540" t="s">
        <v>586</v>
      </c>
      <c r="B117" s="485">
        <f>SUM(E117:AM117)</f>
        <v>196879626.55126154</v>
      </c>
      <c r="C117" s="527">
        <f>C4*$C$116*C115</f>
        <v>3785109.0692763329</v>
      </c>
      <c r="D117" s="527">
        <f t="shared" ref="D117:AH117" si="66">C117*D115</f>
        <v>3860811.2506618598</v>
      </c>
      <c r="E117" s="527">
        <f t="shared" si="66"/>
        <v>3938027.4756750972</v>
      </c>
      <c r="F117" s="527">
        <f t="shared" si="66"/>
        <v>4016788.0251885992</v>
      </c>
      <c r="G117" s="527">
        <f t="shared" si="66"/>
        <v>4097123.7856923714</v>
      </c>
      <c r="H117" s="527">
        <f t="shared" si="66"/>
        <v>4179066.2614062191</v>
      </c>
      <c r="I117" s="527">
        <f t="shared" si="66"/>
        <v>4262647.5866343435</v>
      </c>
      <c r="J117" s="527">
        <f t="shared" si="66"/>
        <v>4347900.5383670302</v>
      </c>
      <c r="K117" s="527">
        <f t="shared" si="66"/>
        <v>4434858.5491343709</v>
      </c>
      <c r="L117" s="527">
        <f t="shared" si="66"/>
        <v>4523555.7201170586</v>
      </c>
      <c r="M117" s="527">
        <f t="shared" si="66"/>
        <v>4614026.8345194003</v>
      </c>
      <c r="N117" s="527">
        <f t="shared" si="66"/>
        <v>4706307.3712097881</v>
      </c>
      <c r="O117" s="527">
        <f t="shared" si="66"/>
        <v>4800433.518633984</v>
      </c>
      <c r="P117" s="527">
        <f t="shared" si="66"/>
        <v>4896442.1890066639</v>
      </c>
      <c r="Q117" s="527">
        <f t="shared" si="66"/>
        <v>4994371.0327867968</v>
      </c>
      <c r="R117" s="527">
        <f t="shared" si="66"/>
        <v>5094258.4534425326</v>
      </c>
      <c r="S117" s="527">
        <f t="shared" si="66"/>
        <v>5196143.6225113831</v>
      </c>
      <c r="T117" s="527">
        <f t="shared" si="66"/>
        <v>5300066.494961611</v>
      </c>
      <c r="U117" s="527">
        <f t="shared" si="66"/>
        <v>5406067.8248608429</v>
      </c>
      <c r="V117" s="527">
        <f t="shared" si="66"/>
        <v>5514189.1813580599</v>
      </c>
      <c r="W117" s="527">
        <f t="shared" si="66"/>
        <v>5624472.9649852216</v>
      </c>
      <c r="X117" s="527">
        <f t="shared" si="66"/>
        <v>5736962.4242849266</v>
      </c>
      <c r="Y117" s="527">
        <f t="shared" si="66"/>
        <v>5851701.672770625</v>
      </c>
      <c r="Z117" s="527">
        <f t="shared" si="66"/>
        <v>5968735.7062260378</v>
      </c>
      <c r="AA117" s="527">
        <f t="shared" si="66"/>
        <v>6088110.4203505591</v>
      </c>
      <c r="AB117" s="527">
        <f t="shared" si="66"/>
        <v>6209872.6287575699</v>
      </c>
      <c r="AC117" s="527">
        <f t="shared" si="66"/>
        <v>6334070.0813327217</v>
      </c>
      <c r="AD117" s="527">
        <f t="shared" si="66"/>
        <v>6460751.4829593766</v>
      </c>
      <c r="AE117" s="527">
        <f t="shared" si="66"/>
        <v>6589966.5126185641</v>
      </c>
      <c r="AF117" s="527">
        <f t="shared" si="66"/>
        <v>6721765.8428709358</v>
      </c>
      <c r="AG117" s="527">
        <f t="shared" si="66"/>
        <v>6856201.1597283548</v>
      </c>
      <c r="AH117" s="527">
        <f t="shared" si="66"/>
        <v>6993325.1829229221</v>
      </c>
      <c r="AI117" s="527">
        <f t="shared" ref="AI117" si="67">AH117*AI115</f>
        <v>7133191.6865813807</v>
      </c>
      <c r="AJ117" s="527">
        <f t="shared" ref="AJ117" si="68">AI117*AJ115</f>
        <v>7275855.5203130087</v>
      </c>
      <c r="AK117" s="527">
        <f t="shared" ref="AK117" si="69">AJ117*AK115</f>
        <v>7421372.6307192687</v>
      </c>
      <c r="AL117" s="527">
        <f t="shared" ref="AL117" si="70">AK117*AL115</f>
        <v>7569800.0833336543</v>
      </c>
      <c r="AM117" s="527">
        <f t="shared" ref="AM117" si="71">AL117*AM115</f>
        <v>7721196.0850003278</v>
      </c>
    </row>
    <row r="118" spans="1:39" x14ac:dyDescent="0.2">
      <c r="A118" s="528" t="s">
        <v>34</v>
      </c>
      <c r="B118" s="498" t="s">
        <v>508</v>
      </c>
      <c r="C118" s="782"/>
      <c r="D118" s="782"/>
      <c r="E118" s="536"/>
      <c r="F118" s="536"/>
      <c r="G118" s="536"/>
      <c r="H118" s="536"/>
      <c r="I118" s="536"/>
      <c r="J118" s="536"/>
      <c r="K118" s="536"/>
      <c r="L118" s="536"/>
      <c r="M118" s="536"/>
      <c r="N118" s="536"/>
      <c r="O118" s="536"/>
      <c r="P118" s="536"/>
      <c r="Q118" s="536"/>
      <c r="R118" s="536"/>
      <c r="S118" s="536"/>
      <c r="T118" s="536"/>
      <c r="U118" s="536"/>
      <c r="V118" s="536"/>
      <c r="W118" s="536"/>
      <c r="X118" s="536"/>
      <c r="Y118" s="536"/>
      <c r="Z118" s="536"/>
      <c r="AA118" s="536"/>
      <c r="AB118" s="536"/>
      <c r="AC118" s="536"/>
      <c r="AD118" s="536"/>
      <c r="AE118" s="536"/>
      <c r="AF118" s="536"/>
      <c r="AG118" s="537"/>
      <c r="AH118" s="537"/>
      <c r="AI118" s="536"/>
      <c r="AJ118" s="537"/>
      <c r="AK118" s="537"/>
      <c r="AL118" s="536"/>
      <c r="AM118" s="537"/>
    </row>
    <row r="119" spans="1:39" x14ac:dyDescent="0.2">
      <c r="A119" s="232" t="s">
        <v>582</v>
      </c>
      <c r="B119" s="532"/>
      <c r="C119" s="496">
        <f t="shared" ref="C119:AH119" si="72">C69</f>
        <v>1</v>
      </c>
      <c r="D119" s="496">
        <f t="shared" si="72"/>
        <v>1.02</v>
      </c>
      <c r="E119" s="496">
        <f t="shared" si="72"/>
        <v>1.02</v>
      </c>
      <c r="F119" s="496">
        <f t="shared" si="72"/>
        <v>1.02</v>
      </c>
      <c r="G119" s="496">
        <f t="shared" si="72"/>
        <v>1.02</v>
      </c>
      <c r="H119" s="496">
        <f t="shared" si="72"/>
        <v>1.02</v>
      </c>
      <c r="I119" s="496">
        <f t="shared" si="72"/>
        <v>1.02</v>
      </c>
      <c r="J119" s="496">
        <f t="shared" si="72"/>
        <v>1.02</v>
      </c>
      <c r="K119" s="496">
        <f t="shared" si="72"/>
        <v>1.02</v>
      </c>
      <c r="L119" s="496">
        <f t="shared" si="72"/>
        <v>1.02</v>
      </c>
      <c r="M119" s="496">
        <f t="shared" si="72"/>
        <v>1.02</v>
      </c>
      <c r="N119" s="496">
        <f t="shared" si="72"/>
        <v>1.02</v>
      </c>
      <c r="O119" s="496">
        <f t="shared" si="72"/>
        <v>1.02</v>
      </c>
      <c r="P119" s="496">
        <f t="shared" si="72"/>
        <v>1.02</v>
      </c>
      <c r="Q119" s="496">
        <f t="shared" si="72"/>
        <v>1.02</v>
      </c>
      <c r="R119" s="496">
        <f t="shared" si="72"/>
        <v>1.02</v>
      </c>
      <c r="S119" s="496">
        <f t="shared" si="72"/>
        <v>1.02</v>
      </c>
      <c r="T119" s="496">
        <f t="shared" si="72"/>
        <v>1.02</v>
      </c>
      <c r="U119" s="496">
        <f t="shared" si="72"/>
        <v>1.02</v>
      </c>
      <c r="V119" s="496">
        <f t="shared" si="72"/>
        <v>1.02</v>
      </c>
      <c r="W119" s="496">
        <f t="shared" si="72"/>
        <v>1.02</v>
      </c>
      <c r="X119" s="496">
        <f t="shared" si="72"/>
        <v>1.02</v>
      </c>
      <c r="Y119" s="496">
        <f t="shared" si="72"/>
        <v>1.02</v>
      </c>
      <c r="Z119" s="496">
        <f t="shared" si="72"/>
        <v>1.02</v>
      </c>
      <c r="AA119" s="496">
        <f t="shared" si="72"/>
        <v>1.02</v>
      </c>
      <c r="AB119" s="496">
        <f t="shared" si="72"/>
        <v>1.02</v>
      </c>
      <c r="AC119" s="496">
        <f t="shared" si="72"/>
        <v>1.02</v>
      </c>
      <c r="AD119" s="496">
        <f t="shared" si="72"/>
        <v>1.02</v>
      </c>
      <c r="AE119" s="496">
        <f t="shared" si="72"/>
        <v>1.02</v>
      </c>
      <c r="AF119" s="496">
        <f t="shared" si="72"/>
        <v>1.02</v>
      </c>
      <c r="AG119" s="496">
        <f t="shared" si="72"/>
        <v>1.02</v>
      </c>
      <c r="AH119" s="496">
        <f t="shared" si="72"/>
        <v>1.02</v>
      </c>
      <c r="AI119" s="496">
        <f t="shared" ref="AI119:AM119" si="73">AI69</f>
        <v>1.02</v>
      </c>
      <c r="AJ119" s="496">
        <f t="shared" si="73"/>
        <v>1.02</v>
      </c>
      <c r="AK119" s="496">
        <f t="shared" si="73"/>
        <v>1.02</v>
      </c>
      <c r="AL119" s="496">
        <f t="shared" si="73"/>
        <v>1.02</v>
      </c>
      <c r="AM119" s="496">
        <f t="shared" si="73"/>
        <v>1.02</v>
      </c>
    </row>
    <row r="120" spans="1:39" x14ac:dyDescent="0.2">
      <c r="A120" s="540" t="s">
        <v>620</v>
      </c>
      <c r="B120" s="485">
        <f>SUM(E120:AM120)</f>
        <v>206837381.45451292</v>
      </c>
      <c r="C120" s="527">
        <f>C5*$C$116*C119</f>
        <v>3785109.0692763329</v>
      </c>
      <c r="D120" s="527">
        <f t="shared" ref="D120:AH120" si="74">C120*D119</f>
        <v>3860811.2506618598</v>
      </c>
      <c r="E120" s="527">
        <f t="shared" si="74"/>
        <v>3938027.4756750972</v>
      </c>
      <c r="F120" s="527">
        <f t="shared" si="74"/>
        <v>4016788.0251885992</v>
      </c>
      <c r="G120" s="527">
        <f t="shared" si="74"/>
        <v>4097123.7856923714</v>
      </c>
      <c r="H120" s="527">
        <f>H5*$C$116*H119</f>
        <v>4404217.1474633021</v>
      </c>
      <c r="I120" s="527">
        <f t="shared" si="74"/>
        <v>4492301.4904125687</v>
      </c>
      <c r="J120" s="527">
        <f t="shared" si="74"/>
        <v>4582147.5202208199</v>
      </c>
      <c r="K120" s="527">
        <f t="shared" si="74"/>
        <v>4673790.4706252366</v>
      </c>
      <c r="L120" s="527">
        <f t="shared" si="74"/>
        <v>4767266.2800377412</v>
      </c>
      <c r="M120" s="527">
        <f t="shared" si="74"/>
        <v>4862611.6056384956</v>
      </c>
      <c r="N120" s="527">
        <f t="shared" si="74"/>
        <v>4959863.8377512656</v>
      </c>
      <c r="O120" s="527">
        <f t="shared" si="74"/>
        <v>5059061.1145062912</v>
      </c>
      <c r="P120" s="527">
        <f t="shared" si="74"/>
        <v>5160242.3367964169</v>
      </c>
      <c r="Q120" s="527">
        <f t="shared" si="74"/>
        <v>5263447.1835323451</v>
      </c>
      <c r="R120" s="527">
        <f t="shared" si="74"/>
        <v>5368716.1272029923</v>
      </c>
      <c r="S120" s="527">
        <f t="shared" si="74"/>
        <v>5476090.449747052</v>
      </c>
      <c r="T120" s="527">
        <f t="shared" si="74"/>
        <v>5585612.2587419935</v>
      </c>
      <c r="U120" s="527">
        <f t="shared" si="74"/>
        <v>5697324.5039168335</v>
      </c>
      <c r="V120" s="527">
        <f t="shared" si="74"/>
        <v>5811270.9939951701</v>
      </c>
      <c r="W120" s="527">
        <f t="shared" si="74"/>
        <v>5927496.4138750732</v>
      </c>
      <c r="X120" s="527">
        <f t="shared" si="74"/>
        <v>6046046.342152575</v>
      </c>
      <c r="Y120" s="527">
        <f t="shared" si="74"/>
        <v>6166967.2689956268</v>
      </c>
      <c r="Z120" s="527">
        <f t="shared" si="74"/>
        <v>6290306.6143755391</v>
      </c>
      <c r="AA120" s="527">
        <f t="shared" si="74"/>
        <v>6416112.7466630498</v>
      </c>
      <c r="AB120" s="527">
        <f t="shared" si="74"/>
        <v>6544435.0015963111</v>
      </c>
      <c r="AC120" s="527">
        <f t="shared" si="74"/>
        <v>6675323.701628237</v>
      </c>
      <c r="AD120" s="527">
        <f t="shared" si="74"/>
        <v>6808830.1756608021</v>
      </c>
      <c r="AE120" s="527">
        <f t="shared" si="74"/>
        <v>6945006.7791740187</v>
      </c>
      <c r="AF120" s="527">
        <f t="shared" si="74"/>
        <v>7083906.9147574995</v>
      </c>
      <c r="AG120" s="527">
        <f t="shared" si="74"/>
        <v>7225585.0530526498</v>
      </c>
      <c r="AH120" s="527">
        <f t="shared" si="74"/>
        <v>7370096.754113703</v>
      </c>
      <c r="AI120" s="527">
        <f t="shared" ref="AI120" si="75">AH120*AI119</f>
        <v>7517498.6891959775</v>
      </c>
      <c r="AJ120" s="527">
        <f t="shared" ref="AJ120" si="76">AI120*AJ119</f>
        <v>7667848.6629798971</v>
      </c>
      <c r="AK120" s="527">
        <f t="shared" ref="AK120" si="77">AJ120*AK119</f>
        <v>7821205.6362394951</v>
      </c>
      <c r="AL120" s="527">
        <f t="shared" ref="AL120" si="78">AK120*AL119</f>
        <v>7977629.7489642855</v>
      </c>
      <c r="AM120" s="527">
        <f t="shared" ref="AM120" si="79">AL120*AM119</f>
        <v>8137182.3439435717</v>
      </c>
    </row>
    <row r="121" spans="1:39" x14ac:dyDescent="0.2">
      <c r="D121" s="780"/>
    </row>
    <row r="122" spans="1:39" x14ac:dyDescent="0.2">
      <c r="A122" s="531" t="s">
        <v>621</v>
      </c>
      <c r="B122" s="485">
        <f>SUM(E122:AM122)</f>
        <v>9957754.903251294</v>
      </c>
      <c r="C122" s="485">
        <f t="shared" ref="C122:AH122" si="80">C120-C117</f>
        <v>0</v>
      </c>
      <c r="D122" s="485">
        <f t="shared" si="80"/>
        <v>0</v>
      </c>
      <c r="E122" s="485">
        <f>E120-E117</f>
        <v>0</v>
      </c>
      <c r="F122" s="485">
        <f>F120-F117</f>
        <v>0</v>
      </c>
      <c r="G122" s="485">
        <f>G120-G117</f>
        <v>0</v>
      </c>
      <c r="H122" s="485">
        <f t="shared" si="80"/>
        <v>225150.88605708303</v>
      </c>
      <c r="I122" s="485">
        <f t="shared" si="80"/>
        <v>229653.90377822518</v>
      </c>
      <c r="J122" s="485">
        <f t="shared" si="80"/>
        <v>234246.98185378965</v>
      </c>
      <c r="K122" s="485">
        <f t="shared" si="80"/>
        <v>238931.92149086576</v>
      </c>
      <c r="L122" s="485">
        <f t="shared" si="80"/>
        <v>243710.55992068257</v>
      </c>
      <c r="M122" s="485">
        <f t="shared" si="80"/>
        <v>248584.77111909539</v>
      </c>
      <c r="N122" s="485">
        <f t="shared" si="80"/>
        <v>253556.46654147748</v>
      </c>
      <c r="O122" s="485">
        <f t="shared" si="80"/>
        <v>258627.5958723072</v>
      </c>
      <c r="P122" s="485">
        <f t="shared" si="80"/>
        <v>263800.14778975304</v>
      </c>
      <c r="Q122" s="485">
        <f t="shared" si="80"/>
        <v>269076.15074554831</v>
      </c>
      <c r="R122" s="485">
        <f t="shared" si="80"/>
        <v>274457.67376045976</v>
      </c>
      <c r="S122" s="485">
        <f t="shared" si="80"/>
        <v>279946.8272356689</v>
      </c>
      <c r="T122" s="485">
        <f t="shared" si="80"/>
        <v>285545.76378038246</v>
      </c>
      <c r="U122" s="485">
        <f t="shared" si="80"/>
        <v>291256.67905599065</v>
      </c>
      <c r="V122" s="485">
        <f t="shared" si="80"/>
        <v>297081.81263711024</v>
      </c>
      <c r="W122" s="485">
        <f t="shared" si="80"/>
        <v>303023.44888985157</v>
      </c>
      <c r="X122" s="485">
        <f t="shared" si="80"/>
        <v>309083.91786764842</v>
      </c>
      <c r="Y122" s="485">
        <f t="shared" si="80"/>
        <v>315265.59622500185</v>
      </c>
      <c r="Z122" s="485">
        <f t="shared" si="80"/>
        <v>321570.90814950131</v>
      </c>
      <c r="AA122" s="485">
        <f t="shared" si="80"/>
        <v>328002.32631249074</v>
      </c>
      <c r="AB122" s="485">
        <f t="shared" si="80"/>
        <v>334562.37283874117</v>
      </c>
      <c r="AC122" s="485">
        <f t="shared" si="80"/>
        <v>341253.62029551528</v>
      </c>
      <c r="AD122" s="485">
        <f t="shared" si="80"/>
        <v>348078.6927014254</v>
      </c>
      <c r="AE122" s="485">
        <f t="shared" si="80"/>
        <v>355040.26655545458</v>
      </c>
      <c r="AF122" s="485">
        <f t="shared" si="80"/>
        <v>362141.07188656367</v>
      </c>
      <c r="AG122" s="485">
        <f t="shared" si="80"/>
        <v>369383.89332429506</v>
      </c>
      <c r="AH122" s="485">
        <f t="shared" si="80"/>
        <v>376771.57119078096</v>
      </c>
      <c r="AI122" s="485">
        <f t="shared" ref="AI122:AM122" si="81">AI120-AI117</f>
        <v>384307.00261459686</v>
      </c>
      <c r="AJ122" s="485">
        <f t="shared" si="81"/>
        <v>391993.14266688842</v>
      </c>
      <c r="AK122" s="485">
        <f t="shared" si="81"/>
        <v>399833.00552022643</v>
      </c>
      <c r="AL122" s="485">
        <f t="shared" si="81"/>
        <v>407829.66563063115</v>
      </c>
      <c r="AM122" s="485">
        <f t="shared" si="81"/>
        <v>415986.25894324388</v>
      </c>
    </row>
    <row r="123" spans="1:39" x14ac:dyDescent="0.2">
      <c r="A123" s="541"/>
      <c r="B123" s="542"/>
      <c r="D123" s="542"/>
      <c r="E123" s="542"/>
      <c r="F123" s="542"/>
      <c r="G123" s="542"/>
      <c r="H123" s="542"/>
      <c r="I123" s="542"/>
      <c r="J123" s="542"/>
      <c r="K123" s="542"/>
      <c r="L123" s="542"/>
      <c r="M123" s="542"/>
      <c r="N123" s="542"/>
      <c r="O123" s="542"/>
      <c r="P123" s="542"/>
      <c r="Q123" s="542"/>
      <c r="R123" s="542"/>
      <c r="S123" s="542"/>
      <c r="T123" s="542"/>
      <c r="U123" s="542"/>
      <c r="V123" s="542"/>
      <c r="W123" s="542"/>
      <c r="X123" s="542"/>
      <c r="Y123" s="542"/>
      <c r="Z123" s="542"/>
      <c r="AA123" s="542"/>
      <c r="AB123" s="542"/>
      <c r="AC123" s="542"/>
      <c r="AD123" s="542"/>
      <c r="AE123" s="542"/>
      <c r="AF123" s="542"/>
      <c r="AG123" s="542"/>
      <c r="AH123" s="542"/>
      <c r="AI123" s="542"/>
      <c r="AJ123" s="542"/>
      <c r="AK123" s="542"/>
      <c r="AL123" s="542"/>
      <c r="AM123" s="542"/>
    </row>
    <row r="124" spans="1:39" x14ac:dyDescent="0.2">
      <c r="A124" s="235" t="s">
        <v>601</v>
      </c>
    </row>
    <row r="125" spans="1:39" s="515" customFormat="1" x14ac:dyDescent="0.2">
      <c r="A125" s="479" t="s">
        <v>33</v>
      </c>
      <c r="B125" s="498" t="s">
        <v>508</v>
      </c>
      <c r="C125" s="481">
        <v>2023</v>
      </c>
      <c r="D125" s="481">
        <v>2024</v>
      </c>
      <c r="E125" s="481">
        <v>2025</v>
      </c>
      <c r="F125" s="481">
        <v>2026</v>
      </c>
      <c r="G125" s="481">
        <v>2027</v>
      </c>
      <c r="H125" s="481">
        <v>2028</v>
      </c>
      <c r="I125" s="481">
        <v>2029</v>
      </c>
      <c r="J125" s="481">
        <v>2030</v>
      </c>
      <c r="K125" s="481">
        <v>2031</v>
      </c>
      <c r="L125" s="481">
        <v>2032</v>
      </c>
      <c r="M125" s="481">
        <v>2033</v>
      </c>
      <c r="N125" s="481">
        <v>2034</v>
      </c>
      <c r="O125" s="481">
        <v>2035</v>
      </c>
      <c r="P125" s="481">
        <v>2036</v>
      </c>
      <c r="Q125" s="481">
        <v>2037</v>
      </c>
      <c r="R125" s="481">
        <v>2038</v>
      </c>
      <c r="S125" s="481">
        <v>2039</v>
      </c>
      <c r="T125" s="481">
        <v>2040</v>
      </c>
      <c r="U125" s="481">
        <v>2041</v>
      </c>
      <c r="V125" s="481">
        <v>2042</v>
      </c>
      <c r="W125" s="481">
        <v>2043</v>
      </c>
      <c r="X125" s="481">
        <v>2044</v>
      </c>
      <c r="Y125" s="481">
        <v>2045</v>
      </c>
      <c r="Z125" s="481">
        <v>2046</v>
      </c>
      <c r="AA125" s="481">
        <v>2047</v>
      </c>
      <c r="AB125" s="481">
        <v>2048</v>
      </c>
      <c r="AC125" s="481">
        <v>2049</v>
      </c>
      <c r="AD125" s="481">
        <v>2050</v>
      </c>
      <c r="AE125" s="481">
        <v>2051</v>
      </c>
      <c r="AF125" s="481">
        <v>2052</v>
      </c>
      <c r="AG125" s="481">
        <v>2053</v>
      </c>
      <c r="AH125" s="481">
        <v>2054</v>
      </c>
      <c r="AI125" s="481">
        <v>2055</v>
      </c>
      <c r="AJ125" s="481">
        <v>2056</v>
      </c>
      <c r="AK125" s="481">
        <v>2057</v>
      </c>
      <c r="AL125" s="481">
        <v>2058</v>
      </c>
      <c r="AM125" s="481">
        <v>2059</v>
      </c>
    </row>
    <row r="126" spans="1:39" x14ac:dyDescent="0.2">
      <c r="A126" s="232" t="s">
        <v>582</v>
      </c>
      <c r="B126" s="232"/>
      <c r="C126" s="496">
        <f>C73</f>
        <v>1</v>
      </c>
      <c r="D126" s="496">
        <f t="shared" ref="D126:AH126" si="82">D73</f>
        <v>1.01</v>
      </c>
      <c r="E126" s="496">
        <f t="shared" si="82"/>
        <v>1.01</v>
      </c>
      <c r="F126" s="496">
        <f t="shared" si="82"/>
        <v>1.01</v>
      </c>
      <c r="G126" s="496">
        <f t="shared" si="82"/>
        <v>1.01</v>
      </c>
      <c r="H126" s="496">
        <f t="shared" si="82"/>
        <v>1.01</v>
      </c>
      <c r="I126" s="496">
        <f t="shared" si="82"/>
        <v>1.01</v>
      </c>
      <c r="J126" s="496">
        <f t="shared" si="82"/>
        <v>1.01</v>
      </c>
      <c r="K126" s="496">
        <f t="shared" si="82"/>
        <v>1.01</v>
      </c>
      <c r="L126" s="496">
        <f t="shared" si="82"/>
        <v>1.01</v>
      </c>
      <c r="M126" s="496">
        <f t="shared" si="82"/>
        <v>1.0149999999999999</v>
      </c>
      <c r="N126" s="496">
        <f t="shared" si="82"/>
        <v>1.0149999999999999</v>
      </c>
      <c r="O126" s="496">
        <f t="shared" si="82"/>
        <v>1.0149999999999999</v>
      </c>
      <c r="P126" s="496">
        <f t="shared" si="82"/>
        <v>1.0149999999999999</v>
      </c>
      <c r="Q126" s="496">
        <f t="shared" si="82"/>
        <v>1.0149999999999999</v>
      </c>
      <c r="R126" s="496">
        <f t="shared" si="82"/>
        <v>1.0149999999999999</v>
      </c>
      <c r="S126" s="496">
        <f t="shared" si="82"/>
        <v>1.0149999999999999</v>
      </c>
      <c r="T126" s="496">
        <f t="shared" si="82"/>
        <v>1.0149999999999999</v>
      </c>
      <c r="U126" s="496">
        <f t="shared" si="82"/>
        <v>1.0149999999999999</v>
      </c>
      <c r="V126" s="496">
        <f t="shared" si="82"/>
        <v>1.02</v>
      </c>
      <c r="W126" s="496">
        <f t="shared" si="82"/>
        <v>1.02</v>
      </c>
      <c r="X126" s="496">
        <f t="shared" si="82"/>
        <v>1.02</v>
      </c>
      <c r="Y126" s="496">
        <f t="shared" si="82"/>
        <v>1.02</v>
      </c>
      <c r="Z126" s="496">
        <f t="shared" si="82"/>
        <v>1.02</v>
      </c>
      <c r="AA126" s="496">
        <f t="shared" si="82"/>
        <v>1.02</v>
      </c>
      <c r="AB126" s="496">
        <f t="shared" si="82"/>
        <v>1.02</v>
      </c>
      <c r="AC126" s="496">
        <f t="shared" si="82"/>
        <v>1.02</v>
      </c>
      <c r="AD126" s="496">
        <f t="shared" si="82"/>
        <v>1.02</v>
      </c>
      <c r="AE126" s="496">
        <f t="shared" si="82"/>
        <v>1.0249999999999999</v>
      </c>
      <c r="AF126" s="496">
        <f t="shared" si="82"/>
        <v>1.0249999999999999</v>
      </c>
      <c r="AG126" s="496">
        <f t="shared" si="82"/>
        <v>1.0249999999999999</v>
      </c>
      <c r="AH126" s="496">
        <f t="shared" si="82"/>
        <v>1.0249999999999999</v>
      </c>
      <c r="AI126" s="496">
        <f t="shared" ref="AI126:AM126" si="83">AI73</f>
        <v>1.0249999999999999</v>
      </c>
      <c r="AJ126" s="496">
        <f t="shared" si="83"/>
        <v>1.0249999999999999</v>
      </c>
      <c r="AK126" s="496">
        <f t="shared" si="83"/>
        <v>1.0249999999999999</v>
      </c>
      <c r="AL126" s="496">
        <f t="shared" si="83"/>
        <v>1.0249999999999999</v>
      </c>
      <c r="AM126" s="496">
        <f t="shared" si="83"/>
        <v>1.0249999999999999</v>
      </c>
    </row>
    <row r="127" spans="1:39" x14ac:dyDescent="0.2">
      <c r="A127" s="538" t="str">
        <f>A13</f>
        <v>IT služby</v>
      </c>
      <c r="B127" s="496"/>
      <c r="C127" s="783">
        <f>D30</f>
        <v>0.25186711305691478</v>
      </c>
      <c r="D127" s="539"/>
      <c r="E127" s="539"/>
      <c r="F127" s="539"/>
      <c r="G127" s="539"/>
      <c r="H127" s="539"/>
      <c r="I127" s="539"/>
      <c r="J127" s="539"/>
      <c r="K127" s="539"/>
      <c r="L127" s="539"/>
      <c r="M127" s="539"/>
      <c r="N127" s="539"/>
      <c r="O127" s="539"/>
      <c r="P127" s="539"/>
      <c r="Q127" s="539"/>
      <c r="R127" s="539"/>
      <c r="S127" s="539"/>
      <c r="T127" s="539"/>
      <c r="U127" s="539"/>
      <c r="V127" s="539"/>
      <c r="W127" s="539"/>
      <c r="X127" s="539"/>
      <c r="Y127" s="539"/>
      <c r="Z127" s="539"/>
      <c r="AA127" s="539"/>
      <c r="AB127" s="539"/>
      <c r="AC127" s="539"/>
      <c r="AD127" s="539"/>
      <c r="AE127" s="539"/>
      <c r="AF127" s="539"/>
      <c r="AG127" s="539"/>
      <c r="AH127" s="539"/>
      <c r="AI127" s="539"/>
      <c r="AJ127" s="539"/>
      <c r="AK127" s="539"/>
      <c r="AL127" s="539"/>
      <c r="AM127" s="539"/>
    </row>
    <row r="128" spans="1:39" x14ac:dyDescent="0.2">
      <c r="A128" s="540" t="s">
        <v>602</v>
      </c>
      <c r="B128" s="485">
        <f>SUM(E128:AM128)</f>
        <v>15147004.901732771</v>
      </c>
      <c r="C128" s="527">
        <f>C4*$C$127*C126</f>
        <v>323966.5928405872</v>
      </c>
      <c r="D128" s="527">
        <f>C128*D126</f>
        <v>327206.25876899308</v>
      </c>
      <c r="E128" s="527">
        <f t="shared" ref="E128:AM128" si="84">D128*E126</f>
        <v>330478.32135668304</v>
      </c>
      <c r="F128" s="527">
        <f t="shared" si="84"/>
        <v>333783.10457024985</v>
      </c>
      <c r="G128" s="527">
        <f t="shared" si="84"/>
        <v>337120.93561595236</v>
      </c>
      <c r="H128" s="527">
        <f t="shared" si="84"/>
        <v>340492.14497211191</v>
      </c>
      <c r="I128" s="527">
        <f t="shared" si="84"/>
        <v>343897.06642183306</v>
      </c>
      <c r="J128" s="527">
        <f t="shared" si="84"/>
        <v>347336.03708605142</v>
      </c>
      <c r="K128" s="527">
        <f t="shared" si="84"/>
        <v>350809.39745691192</v>
      </c>
      <c r="L128" s="527">
        <f t="shared" si="84"/>
        <v>354317.49143148103</v>
      </c>
      <c r="M128" s="527">
        <f t="shared" si="84"/>
        <v>359632.25380295323</v>
      </c>
      <c r="N128" s="527">
        <f t="shared" si="84"/>
        <v>365026.73760999751</v>
      </c>
      <c r="O128" s="527">
        <f t="shared" si="84"/>
        <v>370502.13867414743</v>
      </c>
      <c r="P128" s="527">
        <f t="shared" si="84"/>
        <v>376059.67075425963</v>
      </c>
      <c r="Q128" s="527">
        <f t="shared" si="84"/>
        <v>381700.5658155735</v>
      </c>
      <c r="R128" s="527">
        <f t="shared" si="84"/>
        <v>387426.07430280704</v>
      </c>
      <c r="S128" s="527">
        <f t="shared" si="84"/>
        <v>393237.46541734913</v>
      </c>
      <c r="T128" s="527">
        <f t="shared" si="84"/>
        <v>399136.02739860932</v>
      </c>
      <c r="U128" s="527">
        <f t="shared" si="84"/>
        <v>405123.06780958845</v>
      </c>
      <c r="V128" s="527">
        <f t="shared" si="84"/>
        <v>413225.52916578023</v>
      </c>
      <c r="W128" s="527">
        <f t="shared" si="84"/>
        <v>421490.03974909586</v>
      </c>
      <c r="X128" s="527">
        <f t="shared" si="84"/>
        <v>429919.8405440778</v>
      </c>
      <c r="Y128" s="527">
        <f t="shared" si="84"/>
        <v>438518.23735495936</v>
      </c>
      <c r="Z128" s="527">
        <f t="shared" si="84"/>
        <v>447288.60210205853</v>
      </c>
      <c r="AA128" s="527">
        <f t="shared" si="84"/>
        <v>456234.37414409971</v>
      </c>
      <c r="AB128" s="527">
        <f t="shared" si="84"/>
        <v>465359.06162698171</v>
      </c>
      <c r="AC128" s="527">
        <f t="shared" si="84"/>
        <v>474666.24285952136</v>
      </c>
      <c r="AD128" s="527">
        <f t="shared" si="84"/>
        <v>484159.56771671178</v>
      </c>
      <c r="AE128" s="527">
        <f t="shared" si="84"/>
        <v>496263.55690962955</v>
      </c>
      <c r="AF128" s="527">
        <f t="shared" si="84"/>
        <v>508670.14583237027</v>
      </c>
      <c r="AG128" s="527">
        <f t="shared" si="84"/>
        <v>521386.89947817946</v>
      </c>
      <c r="AH128" s="527">
        <f t="shared" si="84"/>
        <v>534421.57196513389</v>
      </c>
      <c r="AI128" s="527">
        <f t="shared" si="84"/>
        <v>547782.11126426223</v>
      </c>
      <c r="AJ128" s="527">
        <f t="shared" si="84"/>
        <v>561476.66404586879</v>
      </c>
      <c r="AK128" s="527">
        <f t="shared" si="84"/>
        <v>575513.58064701548</v>
      </c>
      <c r="AL128" s="527">
        <f t="shared" si="84"/>
        <v>589901.42016319081</v>
      </c>
      <c r="AM128" s="527">
        <f t="shared" si="84"/>
        <v>604648.95566727058</v>
      </c>
    </row>
    <row r="129" spans="1:39" x14ac:dyDescent="0.2">
      <c r="A129" s="528" t="s">
        <v>34</v>
      </c>
      <c r="B129" s="498" t="s">
        <v>508</v>
      </c>
      <c r="C129" s="516"/>
      <c r="D129" s="782"/>
      <c r="E129" s="536"/>
      <c r="F129" s="536"/>
      <c r="G129" s="536"/>
      <c r="H129" s="536"/>
      <c r="I129" s="536"/>
      <c r="J129" s="536"/>
      <c r="K129" s="536"/>
      <c r="L129" s="536"/>
      <c r="M129" s="536"/>
      <c r="N129" s="536"/>
      <c r="O129" s="536"/>
      <c r="P129" s="536"/>
      <c r="Q129" s="536"/>
      <c r="R129" s="536"/>
      <c r="S129" s="536"/>
      <c r="T129" s="536"/>
      <c r="U129" s="536"/>
      <c r="V129" s="536"/>
      <c r="W129" s="536"/>
      <c r="X129" s="536"/>
      <c r="Y129" s="536"/>
      <c r="Z129" s="536"/>
      <c r="AA129" s="536"/>
      <c r="AB129" s="536"/>
      <c r="AC129" s="536"/>
      <c r="AD129" s="536"/>
      <c r="AE129" s="536"/>
      <c r="AF129" s="536"/>
      <c r="AG129" s="537"/>
      <c r="AH129" s="537"/>
      <c r="AI129" s="536"/>
      <c r="AJ129" s="537"/>
      <c r="AK129" s="537"/>
      <c r="AL129" s="536"/>
      <c r="AM129" s="537"/>
    </row>
    <row r="130" spans="1:39" x14ac:dyDescent="0.2">
      <c r="A130" s="232" t="s">
        <v>582</v>
      </c>
      <c r="B130" s="532"/>
      <c r="C130" s="784">
        <f>C74</f>
        <v>1</v>
      </c>
      <c r="D130" s="784">
        <f t="shared" ref="D130:AH130" si="85">D74</f>
        <v>1.01</v>
      </c>
      <c r="E130" s="784">
        <f t="shared" si="85"/>
        <v>1.01</v>
      </c>
      <c r="F130" s="784">
        <f t="shared" si="85"/>
        <v>1.01</v>
      </c>
      <c r="G130" s="784">
        <f t="shared" si="85"/>
        <v>1.01</v>
      </c>
      <c r="H130" s="784">
        <f t="shared" si="85"/>
        <v>1.02</v>
      </c>
      <c r="I130" s="784">
        <f t="shared" si="85"/>
        <v>1.02</v>
      </c>
      <c r="J130" s="784">
        <f t="shared" si="85"/>
        <v>1.02</v>
      </c>
      <c r="K130" s="784">
        <f t="shared" si="85"/>
        <v>1.02</v>
      </c>
      <c r="L130" s="784">
        <f t="shared" si="85"/>
        <v>1.02</v>
      </c>
      <c r="M130" s="784">
        <f t="shared" si="85"/>
        <v>1.02</v>
      </c>
      <c r="N130" s="784">
        <f t="shared" si="85"/>
        <v>1.02</v>
      </c>
      <c r="O130" s="784">
        <f t="shared" si="85"/>
        <v>1.02</v>
      </c>
      <c r="P130" s="784">
        <f t="shared" si="85"/>
        <v>1.02</v>
      </c>
      <c r="Q130" s="784">
        <f t="shared" si="85"/>
        <v>1.02</v>
      </c>
      <c r="R130" s="784">
        <f t="shared" si="85"/>
        <v>1.02</v>
      </c>
      <c r="S130" s="784">
        <f t="shared" si="85"/>
        <v>1.02</v>
      </c>
      <c r="T130" s="784">
        <f t="shared" si="85"/>
        <v>1.02</v>
      </c>
      <c r="U130" s="784">
        <f t="shared" si="85"/>
        <v>1.02</v>
      </c>
      <c r="V130" s="784">
        <f t="shared" si="85"/>
        <v>1.02</v>
      </c>
      <c r="W130" s="784">
        <f t="shared" si="85"/>
        <v>1.02</v>
      </c>
      <c r="X130" s="784">
        <f t="shared" si="85"/>
        <v>1.02</v>
      </c>
      <c r="Y130" s="784">
        <f t="shared" si="85"/>
        <v>1.02</v>
      </c>
      <c r="Z130" s="784">
        <f t="shared" si="85"/>
        <v>1.02</v>
      </c>
      <c r="AA130" s="784">
        <f t="shared" si="85"/>
        <v>1.02</v>
      </c>
      <c r="AB130" s="784">
        <f t="shared" si="85"/>
        <v>1.02</v>
      </c>
      <c r="AC130" s="784">
        <f t="shared" si="85"/>
        <v>1.02</v>
      </c>
      <c r="AD130" s="784">
        <f t="shared" si="85"/>
        <v>1.02</v>
      </c>
      <c r="AE130" s="784">
        <f t="shared" si="85"/>
        <v>1.02</v>
      </c>
      <c r="AF130" s="784">
        <f t="shared" si="85"/>
        <v>1.02</v>
      </c>
      <c r="AG130" s="784">
        <f t="shared" si="85"/>
        <v>1.02</v>
      </c>
      <c r="AH130" s="784">
        <f t="shared" si="85"/>
        <v>1.02</v>
      </c>
      <c r="AI130" s="784">
        <f t="shared" ref="AI130:AM130" si="86">AI74</f>
        <v>1.02</v>
      </c>
      <c r="AJ130" s="784">
        <f t="shared" si="86"/>
        <v>1.02</v>
      </c>
      <c r="AK130" s="784">
        <f t="shared" si="86"/>
        <v>1.02</v>
      </c>
      <c r="AL130" s="784">
        <f t="shared" si="86"/>
        <v>1.02</v>
      </c>
      <c r="AM130" s="784">
        <f t="shared" si="86"/>
        <v>1.02</v>
      </c>
    </row>
    <row r="131" spans="1:39" x14ac:dyDescent="0.2">
      <c r="A131" s="540" t="s">
        <v>603</v>
      </c>
      <c r="B131" s="485">
        <f>SUM(E131:AM131)</f>
        <v>17673022.432978123</v>
      </c>
      <c r="C131" s="527">
        <f>C5*$C$127*C130</f>
        <v>323966.5928405872</v>
      </c>
      <c r="D131" s="527">
        <f>C131*D130</f>
        <v>327206.25876899308</v>
      </c>
      <c r="E131" s="527">
        <f t="shared" ref="E131:G131" si="87">D131*E130</f>
        <v>330478.32135668304</v>
      </c>
      <c r="F131" s="527">
        <f t="shared" si="87"/>
        <v>333783.10457024985</v>
      </c>
      <c r="G131" s="527">
        <f t="shared" si="87"/>
        <v>337120.93561595236</v>
      </c>
      <c r="H131" s="527">
        <f t="shared" ref="H131" si="88">H5*$C$127*H130</f>
        <v>376955.90728817933</v>
      </c>
      <c r="I131" s="527">
        <f t="shared" ref="I131:AM131" si="89">H131*I130</f>
        <v>384495.02543394291</v>
      </c>
      <c r="J131" s="527">
        <f t="shared" si="89"/>
        <v>392184.92594262178</v>
      </c>
      <c r="K131" s="527">
        <f t="shared" si="89"/>
        <v>400028.62446147425</v>
      </c>
      <c r="L131" s="527">
        <f t="shared" si="89"/>
        <v>408029.19695070374</v>
      </c>
      <c r="M131" s="527">
        <f t="shared" si="89"/>
        <v>416189.7808897178</v>
      </c>
      <c r="N131" s="527">
        <f t="shared" si="89"/>
        <v>424513.57650751219</v>
      </c>
      <c r="O131" s="527">
        <f t="shared" si="89"/>
        <v>433003.84803766245</v>
      </c>
      <c r="P131" s="527">
        <f t="shared" si="89"/>
        <v>441663.92499841569</v>
      </c>
      <c r="Q131" s="527">
        <f t="shared" si="89"/>
        <v>450497.20349838404</v>
      </c>
      <c r="R131" s="527">
        <f t="shared" si="89"/>
        <v>459507.14756835171</v>
      </c>
      <c r="S131" s="527">
        <f t="shared" si="89"/>
        <v>468697.29051971872</v>
      </c>
      <c r="T131" s="527">
        <f t="shared" si="89"/>
        <v>478071.23633011308</v>
      </c>
      <c r="U131" s="527">
        <f t="shared" si="89"/>
        <v>487632.66105671535</v>
      </c>
      <c r="V131" s="527">
        <f t="shared" si="89"/>
        <v>497385.31427784968</v>
      </c>
      <c r="W131" s="527">
        <f t="shared" si="89"/>
        <v>507333.0205634067</v>
      </c>
      <c r="X131" s="527">
        <f t="shared" si="89"/>
        <v>517479.68097467482</v>
      </c>
      <c r="Y131" s="527">
        <f t="shared" si="89"/>
        <v>527829.2745941683</v>
      </c>
      <c r="Z131" s="527">
        <f t="shared" si="89"/>
        <v>538385.86008605163</v>
      </c>
      <c r="AA131" s="527">
        <f t="shared" si="89"/>
        <v>549153.57728777267</v>
      </c>
      <c r="AB131" s="527">
        <f t="shared" si="89"/>
        <v>560136.64883352816</v>
      </c>
      <c r="AC131" s="527">
        <f t="shared" si="89"/>
        <v>571339.38181019877</v>
      </c>
      <c r="AD131" s="527">
        <f t="shared" si="89"/>
        <v>582766.16944640281</v>
      </c>
      <c r="AE131" s="527">
        <f t="shared" si="89"/>
        <v>594421.49283533089</v>
      </c>
      <c r="AF131" s="527">
        <f t="shared" si="89"/>
        <v>606309.92269203754</v>
      </c>
      <c r="AG131" s="527">
        <f t="shared" si="89"/>
        <v>618436.12114587834</v>
      </c>
      <c r="AH131" s="527">
        <f t="shared" si="89"/>
        <v>630804.84356879594</v>
      </c>
      <c r="AI131" s="527">
        <f t="shared" si="89"/>
        <v>643420.94044017186</v>
      </c>
      <c r="AJ131" s="527">
        <f t="shared" si="89"/>
        <v>656289.35924897529</v>
      </c>
      <c r="AK131" s="527">
        <f t="shared" si="89"/>
        <v>669415.14643395483</v>
      </c>
      <c r="AL131" s="527">
        <f t="shared" si="89"/>
        <v>682803.44936263398</v>
      </c>
      <c r="AM131" s="527">
        <f t="shared" si="89"/>
        <v>696459.51834988664</v>
      </c>
    </row>
    <row r="132" spans="1:39" x14ac:dyDescent="0.2">
      <c r="D132" s="780"/>
    </row>
    <row r="133" spans="1:39" x14ac:dyDescent="0.2">
      <c r="A133" s="531" t="s">
        <v>622</v>
      </c>
      <c r="B133" s="485">
        <f>SUM(E133:AM133)</f>
        <v>2526017.5312453499</v>
      </c>
      <c r="C133" s="485">
        <f t="shared" ref="C133:AH133" si="90">C131-C128</f>
        <v>0</v>
      </c>
      <c r="D133" s="485">
        <f t="shared" si="90"/>
        <v>0</v>
      </c>
      <c r="E133" s="485">
        <f t="shared" si="90"/>
        <v>0</v>
      </c>
      <c r="F133" s="485">
        <f t="shared" si="90"/>
        <v>0</v>
      </c>
      <c r="G133" s="485">
        <f t="shared" si="90"/>
        <v>0</v>
      </c>
      <c r="H133" s="485">
        <f t="shared" si="90"/>
        <v>36463.762316067412</v>
      </c>
      <c r="I133" s="485">
        <f t="shared" si="90"/>
        <v>40597.959012109844</v>
      </c>
      <c r="J133" s="485">
        <f t="shared" si="90"/>
        <v>44848.888856570353</v>
      </c>
      <c r="K133" s="485">
        <f t="shared" si="90"/>
        <v>49219.22700456233</v>
      </c>
      <c r="L133" s="485">
        <f t="shared" si="90"/>
        <v>53711.705519222713</v>
      </c>
      <c r="M133" s="485">
        <f t="shared" si="90"/>
        <v>56557.527086764574</v>
      </c>
      <c r="N133" s="485">
        <f t="shared" si="90"/>
        <v>59486.838897514681</v>
      </c>
      <c r="O133" s="485">
        <f t="shared" si="90"/>
        <v>62501.709363515023</v>
      </c>
      <c r="P133" s="485">
        <f t="shared" si="90"/>
        <v>65604.254244156065</v>
      </c>
      <c r="Q133" s="485">
        <f t="shared" si="90"/>
        <v>68796.637682810542</v>
      </c>
      <c r="R133" s="485">
        <f t="shared" si="90"/>
        <v>72081.073265544663</v>
      </c>
      <c r="S133" s="485">
        <f t="shared" si="90"/>
        <v>75459.825102369592</v>
      </c>
      <c r="T133" s="485">
        <f t="shared" si="90"/>
        <v>78935.208931503759</v>
      </c>
      <c r="U133" s="485">
        <f t="shared" si="90"/>
        <v>82509.593247126904</v>
      </c>
      <c r="V133" s="485">
        <f t="shared" si="90"/>
        <v>84159.785112069454</v>
      </c>
      <c r="W133" s="485">
        <f t="shared" si="90"/>
        <v>85842.980814310838</v>
      </c>
      <c r="X133" s="485">
        <f t="shared" si="90"/>
        <v>87559.840430597018</v>
      </c>
      <c r="Y133" s="485">
        <f t="shared" si="90"/>
        <v>89311.037239208934</v>
      </c>
      <c r="Z133" s="485">
        <f t="shared" si="90"/>
        <v>91097.257983993099</v>
      </c>
      <c r="AA133" s="485">
        <f t="shared" si="90"/>
        <v>92919.203143672959</v>
      </c>
      <c r="AB133" s="485">
        <f t="shared" si="90"/>
        <v>94777.58720654645</v>
      </c>
      <c r="AC133" s="485">
        <f t="shared" si="90"/>
        <v>96673.138950677414</v>
      </c>
      <c r="AD133" s="485">
        <f t="shared" si="90"/>
        <v>98606.601729691029</v>
      </c>
      <c r="AE133" s="485">
        <f t="shared" si="90"/>
        <v>98157.935925701342</v>
      </c>
      <c r="AF133" s="485">
        <f t="shared" si="90"/>
        <v>97639.776859667269</v>
      </c>
      <c r="AG133" s="485">
        <f t="shared" si="90"/>
        <v>97049.221667698876</v>
      </c>
      <c r="AH133" s="485">
        <f t="shared" si="90"/>
        <v>96383.271603662055</v>
      </c>
      <c r="AI133" s="485">
        <f t="shared" ref="AI133:AM133" si="91">AI131-AI128</f>
        <v>95638.829175909632</v>
      </c>
      <c r="AJ133" s="485">
        <f t="shared" si="91"/>
        <v>94812.695203106501</v>
      </c>
      <c r="AK133" s="485">
        <f t="shared" si="91"/>
        <v>93901.565786939347</v>
      </c>
      <c r="AL133" s="485">
        <f t="shared" si="91"/>
        <v>92902.029199443175</v>
      </c>
      <c r="AM133" s="485">
        <f t="shared" si="91"/>
        <v>91810.562682616059</v>
      </c>
    </row>
    <row r="134" spans="1:39" x14ac:dyDescent="0.2">
      <c r="A134" s="541"/>
      <c r="B134" s="542"/>
      <c r="D134" s="542"/>
      <c r="E134" s="542"/>
      <c r="F134" s="542"/>
      <c r="G134" s="542"/>
      <c r="H134" s="542"/>
      <c r="I134" s="542"/>
      <c r="J134" s="542"/>
      <c r="K134" s="542"/>
      <c r="L134" s="542"/>
      <c r="M134" s="542"/>
      <c r="N134" s="542"/>
      <c r="O134" s="542"/>
      <c r="P134" s="542"/>
      <c r="Q134" s="542"/>
      <c r="R134" s="542"/>
      <c r="S134" s="542"/>
      <c r="T134" s="542"/>
      <c r="U134" s="542"/>
      <c r="V134" s="542"/>
      <c r="W134" s="542"/>
      <c r="X134" s="542"/>
      <c r="Y134" s="542"/>
      <c r="Z134" s="542"/>
      <c r="AA134" s="542"/>
      <c r="AB134" s="542"/>
      <c r="AC134" s="542"/>
      <c r="AD134" s="542"/>
      <c r="AE134" s="542"/>
      <c r="AF134" s="542"/>
      <c r="AG134" s="542"/>
      <c r="AH134" s="542"/>
      <c r="AI134" s="542"/>
      <c r="AJ134" s="542"/>
      <c r="AK134" s="542"/>
      <c r="AL134" s="542"/>
      <c r="AM134" s="542"/>
    </row>
    <row r="135" spans="1:39" x14ac:dyDescent="0.2">
      <c r="D135" s="489"/>
    </row>
    <row r="136" spans="1:39" ht="17.25" customHeight="1" x14ac:dyDescent="0.2">
      <c r="A136" s="235" t="s">
        <v>623</v>
      </c>
    </row>
    <row r="137" spans="1:39" x14ac:dyDescent="0.2">
      <c r="A137" s="479" t="s">
        <v>33</v>
      </c>
      <c r="B137" s="498" t="s">
        <v>508</v>
      </c>
      <c r="C137" s="481">
        <v>2023</v>
      </c>
      <c r="D137" s="481">
        <v>2024</v>
      </c>
      <c r="E137" s="481">
        <v>2025</v>
      </c>
      <c r="F137" s="481">
        <v>2026</v>
      </c>
      <c r="G137" s="481">
        <v>2027</v>
      </c>
      <c r="H137" s="481">
        <v>2028</v>
      </c>
      <c r="I137" s="481">
        <v>2029</v>
      </c>
      <c r="J137" s="481">
        <v>2030</v>
      </c>
      <c r="K137" s="481">
        <v>2031</v>
      </c>
      <c r="L137" s="481">
        <v>2032</v>
      </c>
      <c r="M137" s="481">
        <v>2033</v>
      </c>
      <c r="N137" s="481">
        <v>2034</v>
      </c>
      <c r="O137" s="481">
        <v>2035</v>
      </c>
      <c r="P137" s="481">
        <v>2036</v>
      </c>
      <c r="Q137" s="481">
        <v>2037</v>
      </c>
      <c r="R137" s="481">
        <v>2038</v>
      </c>
      <c r="S137" s="481">
        <v>2039</v>
      </c>
      <c r="T137" s="481">
        <v>2040</v>
      </c>
      <c r="U137" s="481">
        <v>2041</v>
      </c>
      <c r="V137" s="481">
        <v>2042</v>
      </c>
      <c r="W137" s="481">
        <v>2043</v>
      </c>
      <c r="X137" s="481">
        <v>2044</v>
      </c>
      <c r="Y137" s="481">
        <v>2045</v>
      </c>
      <c r="Z137" s="481">
        <v>2046</v>
      </c>
      <c r="AA137" s="481">
        <v>2047</v>
      </c>
      <c r="AB137" s="481">
        <v>2048</v>
      </c>
      <c r="AC137" s="481">
        <v>2049</v>
      </c>
      <c r="AD137" s="481">
        <v>2050</v>
      </c>
      <c r="AE137" s="481">
        <v>2051</v>
      </c>
      <c r="AF137" s="481">
        <v>2052</v>
      </c>
      <c r="AG137" s="481">
        <v>2053</v>
      </c>
      <c r="AH137" s="481">
        <v>2054</v>
      </c>
      <c r="AI137" s="481">
        <v>2055</v>
      </c>
      <c r="AJ137" s="481">
        <v>2056</v>
      </c>
      <c r="AK137" s="481">
        <v>2057</v>
      </c>
      <c r="AL137" s="481">
        <v>2058</v>
      </c>
      <c r="AM137" s="481">
        <v>2059</v>
      </c>
    </row>
    <row r="138" spans="1:39" x14ac:dyDescent="0.2">
      <c r="A138" s="530" t="s">
        <v>582</v>
      </c>
      <c r="B138" s="532"/>
      <c r="C138" s="496">
        <f>C76</f>
        <v>1</v>
      </c>
      <c r="D138" s="496">
        <f t="shared" ref="D138:AH138" si="92">D76</f>
        <v>1.03</v>
      </c>
      <c r="E138" s="496">
        <f t="shared" si="92"/>
        <v>1.03</v>
      </c>
      <c r="F138" s="496">
        <f t="shared" si="92"/>
        <v>1.03</v>
      </c>
      <c r="G138" s="496">
        <f t="shared" si="92"/>
        <v>1.03</v>
      </c>
      <c r="H138" s="496">
        <f t="shared" si="92"/>
        <v>1.03</v>
      </c>
      <c r="I138" s="496">
        <f t="shared" si="92"/>
        <v>1.03</v>
      </c>
      <c r="J138" s="496">
        <f t="shared" si="92"/>
        <v>1.03</v>
      </c>
      <c r="K138" s="496">
        <f t="shared" si="92"/>
        <v>1.03</v>
      </c>
      <c r="L138" s="496">
        <f t="shared" si="92"/>
        <v>1.03</v>
      </c>
      <c r="M138" s="496">
        <f t="shared" si="92"/>
        <v>1.03</v>
      </c>
      <c r="N138" s="496">
        <f t="shared" si="92"/>
        <v>1.0349999999999999</v>
      </c>
      <c r="O138" s="496">
        <f t="shared" si="92"/>
        <v>1.0349999999999999</v>
      </c>
      <c r="P138" s="496">
        <f t="shared" si="92"/>
        <v>1.0349999999999999</v>
      </c>
      <c r="Q138" s="496">
        <f t="shared" si="92"/>
        <v>1.0349999999999999</v>
      </c>
      <c r="R138" s="496">
        <f t="shared" si="92"/>
        <v>1.0349999999999999</v>
      </c>
      <c r="S138" s="496">
        <f t="shared" si="92"/>
        <v>1.0349999999999999</v>
      </c>
      <c r="T138" s="496">
        <f t="shared" si="92"/>
        <v>1.0349999999999999</v>
      </c>
      <c r="U138" s="496">
        <f t="shared" si="92"/>
        <v>1.0349999999999999</v>
      </c>
      <c r="V138" s="496">
        <f t="shared" si="92"/>
        <v>1.0349999999999999</v>
      </c>
      <c r="W138" s="496">
        <f t="shared" si="92"/>
        <v>1.04</v>
      </c>
      <c r="X138" s="496">
        <f t="shared" si="92"/>
        <v>1.04</v>
      </c>
      <c r="Y138" s="496">
        <f t="shared" si="92"/>
        <v>1.04</v>
      </c>
      <c r="Z138" s="496">
        <f t="shared" si="92"/>
        <v>1.04</v>
      </c>
      <c r="AA138" s="496">
        <f t="shared" si="92"/>
        <v>1.04</v>
      </c>
      <c r="AB138" s="496">
        <f t="shared" si="92"/>
        <v>1.04</v>
      </c>
      <c r="AC138" s="496">
        <f t="shared" si="92"/>
        <v>1.04</v>
      </c>
      <c r="AD138" s="496">
        <f t="shared" si="92"/>
        <v>1.04</v>
      </c>
      <c r="AE138" s="496">
        <f t="shared" si="92"/>
        <v>1.04</v>
      </c>
      <c r="AF138" s="496">
        <f t="shared" si="92"/>
        <v>1.0449999999999999</v>
      </c>
      <c r="AG138" s="496">
        <f t="shared" si="92"/>
        <v>1.0449999999999999</v>
      </c>
      <c r="AH138" s="496">
        <f t="shared" si="92"/>
        <v>1.0449999999999999</v>
      </c>
      <c r="AI138" s="496">
        <f t="shared" ref="AI138:AM138" si="93">AI76</f>
        <v>1.0449999999999999</v>
      </c>
      <c r="AJ138" s="496">
        <f t="shared" si="93"/>
        <v>1.0449999999999999</v>
      </c>
      <c r="AK138" s="496">
        <f t="shared" si="93"/>
        <v>1.0449999999999999</v>
      </c>
      <c r="AL138" s="496">
        <f t="shared" si="93"/>
        <v>1.0449999999999999</v>
      </c>
      <c r="AM138" s="496">
        <f t="shared" si="93"/>
        <v>1.0449999999999999</v>
      </c>
    </row>
    <row r="139" spans="1:39" x14ac:dyDescent="0.2">
      <c r="A139" s="530" t="s">
        <v>624</v>
      </c>
      <c r="B139" s="248"/>
      <c r="C139" s="785">
        <f>D31</f>
        <v>0.69752768477980942</v>
      </c>
      <c r="E139" s="539"/>
      <c r="F139" s="539"/>
      <c r="G139" s="539"/>
      <c r="H139" s="539"/>
      <c r="I139" s="539"/>
      <c r="J139" s="539"/>
      <c r="K139" s="539"/>
      <c r="L139" s="539"/>
      <c r="M139" s="539"/>
      <c r="N139" s="539"/>
      <c r="O139" s="539"/>
      <c r="P139" s="539"/>
      <c r="Q139" s="539"/>
      <c r="R139" s="539"/>
      <c r="S139" s="539"/>
      <c r="T139" s="539"/>
      <c r="U139" s="539"/>
      <c r="V139" s="539"/>
      <c r="W139" s="539"/>
      <c r="X139" s="539"/>
      <c r="Y139" s="539"/>
      <c r="Z139" s="539"/>
      <c r="AA139" s="539"/>
      <c r="AB139" s="539"/>
      <c r="AC139" s="539"/>
      <c r="AD139" s="539"/>
      <c r="AE139" s="539"/>
      <c r="AF139" s="539"/>
      <c r="AG139" s="539"/>
      <c r="AH139" s="539"/>
      <c r="AI139" s="539"/>
      <c r="AJ139" s="539"/>
      <c r="AK139" s="539"/>
      <c r="AL139" s="539"/>
      <c r="AM139" s="539"/>
    </row>
    <row r="140" spans="1:39" x14ac:dyDescent="0.2">
      <c r="A140" s="540" t="s">
        <v>624</v>
      </c>
      <c r="B140" s="485">
        <f>SUM(E140:AM140)</f>
        <v>63622996.22659988</v>
      </c>
      <c r="C140" s="527">
        <f>C4*$C$139*C138</f>
        <v>897201.95982487767</v>
      </c>
      <c r="D140" s="527">
        <f>C140*D138</f>
        <v>924118.01861962408</v>
      </c>
      <c r="E140" s="527">
        <f t="shared" ref="E140:AM140" si="94">D140*E138</f>
        <v>951841.55917821277</v>
      </c>
      <c r="F140" s="527">
        <f t="shared" si="94"/>
        <v>980396.80595355923</v>
      </c>
      <c r="G140" s="527">
        <f t="shared" si="94"/>
        <v>1009808.710132166</v>
      </c>
      <c r="H140" s="527">
        <f t="shared" si="94"/>
        <v>1040102.971436131</v>
      </c>
      <c r="I140" s="527">
        <f t="shared" si="94"/>
        <v>1071306.0605792149</v>
      </c>
      <c r="J140" s="527">
        <f t="shared" si="94"/>
        <v>1103445.2423965915</v>
      </c>
      <c r="K140" s="527">
        <f t="shared" si="94"/>
        <v>1136548.5996684893</v>
      </c>
      <c r="L140" s="527">
        <f t="shared" si="94"/>
        <v>1170645.057658544</v>
      </c>
      <c r="M140" s="527">
        <f t="shared" si="94"/>
        <v>1205764.4093883005</v>
      </c>
      <c r="N140" s="527">
        <f t="shared" si="94"/>
        <v>1247966.1637168908</v>
      </c>
      <c r="O140" s="527">
        <f t="shared" si="94"/>
        <v>1291644.979446982</v>
      </c>
      <c r="P140" s="527">
        <f t="shared" si="94"/>
        <v>1336852.5537276263</v>
      </c>
      <c r="Q140" s="527">
        <f t="shared" si="94"/>
        <v>1383642.3931080932</v>
      </c>
      <c r="R140" s="527">
        <f t="shared" si="94"/>
        <v>1432069.8768668764</v>
      </c>
      <c r="S140" s="527">
        <f t="shared" si="94"/>
        <v>1482192.322557217</v>
      </c>
      <c r="T140" s="527">
        <f t="shared" si="94"/>
        <v>1534069.0538467194</v>
      </c>
      <c r="U140" s="527">
        <f t="shared" si="94"/>
        <v>1587761.4707313546</v>
      </c>
      <c r="V140" s="527">
        <f t="shared" si="94"/>
        <v>1643333.1222069517</v>
      </c>
      <c r="W140" s="527">
        <f t="shared" si="94"/>
        <v>1709066.4470952298</v>
      </c>
      <c r="X140" s="527">
        <f t="shared" si="94"/>
        <v>1777429.1049790389</v>
      </c>
      <c r="Y140" s="527">
        <f t="shared" si="94"/>
        <v>1848526.2691782005</v>
      </c>
      <c r="Z140" s="527">
        <f t="shared" si="94"/>
        <v>1922467.3199453286</v>
      </c>
      <c r="AA140" s="527">
        <f t="shared" si="94"/>
        <v>1999366.0127431417</v>
      </c>
      <c r="AB140" s="527">
        <f t="shared" si="94"/>
        <v>2079340.6532528675</v>
      </c>
      <c r="AC140" s="527">
        <f t="shared" si="94"/>
        <v>2162514.2793829823</v>
      </c>
      <c r="AD140" s="527">
        <f t="shared" si="94"/>
        <v>2249014.8505583014</v>
      </c>
      <c r="AE140" s="527">
        <f t="shared" si="94"/>
        <v>2338975.4445806337</v>
      </c>
      <c r="AF140" s="527">
        <f t="shared" si="94"/>
        <v>2444229.3395867618</v>
      </c>
      <c r="AG140" s="527">
        <f t="shared" si="94"/>
        <v>2554219.6598681659</v>
      </c>
      <c r="AH140" s="527">
        <f t="shared" si="94"/>
        <v>2669159.5445622331</v>
      </c>
      <c r="AI140" s="527">
        <f t="shared" si="94"/>
        <v>2789271.7240675334</v>
      </c>
      <c r="AJ140" s="527">
        <f t="shared" si="94"/>
        <v>2914788.951650572</v>
      </c>
      <c r="AK140" s="527">
        <f t="shared" si="94"/>
        <v>3045954.4544748478</v>
      </c>
      <c r="AL140" s="527">
        <f t="shared" si="94"/>
        <v>3183022.4049262158</v>
      </c>
      <c r="AM140" s="527">
        <f t="shared" si="94"/>
        <v>3326258.4131478951</v>
      </c>
    </row>
    <row r="141" spans="1:39" x14ac:dyDescent="0.2">
      <c r="A141" s="528" t="s">
        <v>34</v>
      </c>
      <c r="B141" s="498" t="s">
        <v>508</v>
      </c>
      <c r="C141" s="778"/>
      <c r="D141" s="778"/>
      <c r="E141" s="529"/>
      <c r="F141" s="529"/>
      <c r="G141" s="529"/>
      <c r="H141" s="529"/>
      <c r="I141" s="529"/>
      <c r="J141" s="529"/>
      <c r="K141" s="529"/>
      <c r="L141" s="529"/>
      <c r="M141" s="529"/>
      <c r="N141" s="529"/>
      <c r="O141" s="529"/>
      <c r="P141" s="529"/>
      <c r="Q141" s="529"/>
      <c r="R141" s="529"/>
      <c r="S141" s="529"/>
      <c r="T141" s="529"/>
      <c r="U141" s="529"/>
      <c r="V141" s="529"/>
      <c r="W141" s="529"/>
      <c r="X141" s="529"/>
      <c r="Y141" s="529"/>
      <c r="Z141" s="529"/>
      <c r="AA141" s="529"/>
      <c r="AB141" s="529"/>
      <c r="AC141" s="529"/>
      <c r="AD141" s="529"/>
      <c r="AE141" s="529"/>
      <c r="AF141" s="529"/>
      <c r="AG141" s="537"/>
      <c r="AH141" s="537"/>
      <c r="AI141" s="529"/>
      <c r="AJ141" s="537"/>
      <c r="AK141" s="537"/>
      <c r="AL141" s="529"/>
      <c r="AM141" s="537"/>
    </row>
    <row r="142" spans="1:39" x14ac:dyDescent="0.2">
      <c r="A142" s="543" t="s">
        <v>582</v>
      </c>
      <c r="B142" s="232"/>
      <c r="C142" s="532">
        <f>C77</f>
        <v>1</v>
      </c>
      <c r="D142" s="532">
        <f t="shared" ref="D142:AH142" si="95">D77</f>
        <v>1.03</v>
      </c>
      <c r="E142" s="532">
        <f t="shared" si="95"/>
        <v>1.03</v>
      </c>
      <c r="F142" s="532">
        <f t="shared" si="95"/>
        <v>1.03</v>
      </c>
      <c r="G142" s="532">
        <f t="shared" si="95"/>
        <v>1.03</v>
      </c>
      <c r="H142" s="532">
        <f t="shared" si="95"/>
        <v>1.02</v>
      </c>
      <c r="I142" s="532">
        <f t="shared" si="95"/>
        <v>1.02</v>
      </c>
      <c r="J142" s="532">
        <f t="shared" si="95"/>
        <v>1.02</v>
      </c>
      <c r="K142" s="532">
        <f t="shared" si="95"/>
        <v>1.02</v>
      </c>
      <c r="L142" s="532">
        <f t="shared" si="95"/>
        <v>1.02</v>
      </c>
      <c r="M142" s="532">
        <f t="shared" si="95"/>
        <v>1.02</v>
      </c>
      <c r="N142" s="532">
        <f t="shared" si="95"/>
        <v>1.03</v>
      </c>
      <c r="O142" s="532">
        <f t="shared" si="95"/>
        <v>1.03</v>
      </c>
      <c r="P142" s="532">
        <f t="shared" si="95"/>
        <v>1.03</v>
      </c>
      <c r="Q142" s="532">
        <f t="shared" si="95"/>
        <v>1.03</v>
      </c>
      <c r="R142" s="532">
        <f t="shared" si="95"/>
        <v>1.03</v>
      </c>
      <c r="S142" s="532">
        <f t="shared" si="95"/>
        <v>1.03</v>
      </c>
      <c r="T142" s="532">
        <f t="shared" si="95"/>
        <v>1.03</v>
      </c>
      <c r="U142" s="532">
        <f t="shared" si="95"/>
        <v>1.03</v>
      </c>
      <c r="V142" s="532">
        <f t="shared" si="95"/>
        <v>1.03</v>
      </c>
      <c r="W142" s="532">
        <f t="shared" si="95"/>
        <v>1.0349999999999999</v>
      </c>
      <c r="X142" s="532">
        <f t="shared" si="95"/>
        <v>1.0349999999999999</v>
      </c>
      <c r="Y142" s="532">
        <f t="shared" si="95"/>
        <v>1.0349999999999999</v>
      </c>
      <c r="Z142" s="532">
        <f t="shared" si="95"/>
        <v>1.0349999999999999</v>
      </c>
      <c r="AA142" s="532">
        <f t="shared" si="95"/>
        <v>1.0349999999999999</v>
      </c>
      <c r="AB142" s="532">
        <f t="shared" si="95"/>
        <v>1.0349999999999999</v>
      </c>
      <c r="AC142" s="532">
        <f t="shared" si="95"/>
        <v>1.0349999999999999</v>
      </c>
      <c r="AD142" s="532">
        <f t="shared" si="95"/>
        <v>1.0349999999999999</v>
      </c>
      <c r="AE142" s="532">
        <f t="shared" si="95"/>
        <v>1.0349999999999999</v>
      </c>
      <c r="AF142" s="532">
        <f t="shared" si="95"/>
        <v>1.04</v>
      </c>
      <c r="AG142" s="532">
        <f t="shared" si="95"/>
        <v>1.04</v>
      </c>
      <c r="AH142" s="532">
        <f t="shared" si="95"/>
        <v>1.04</v>
      </c>
      <c r="AI142" s="532">
        <f t="shared" ref="AI142:AM142" si="96">AI77</f>
        <v>1.04</v>
      </c>
      <c r="AJ142" s="532">
        <f t="shared" si="96"/>
        <v>1.04</v>
      </c>
      <c r="AK142" s="532">
        <f t="shared" si="96"/>
        <v>1.04</v>
      </c>
      <c r="AL142" s="532">
        <f t="shared" si="96"/>
        <v>1.04</v>
      </c>
      <c r="AM142" s="532">
        <f t="shared" si="96"/>
        <v>1.04</v>
      </c>
    </row>
    <row r="143" spans="1:39" x14ac:dyDescent="0.2">
      <c r="A143" s="540" t="s">
        <v>624</v>
      </c>
      <c r="B143" s="485">
        <f>SUM(E143:AM143)</f>
        <v>57368385.181691721</v>
      </c>
      <c r="C143" s="527">
        <f>C5*$C$139*C142</f>
        <v>897201.95982487767</v>
      </c>
      <c r="D143" s="527">
        <f>C143*D142</f>
        <v>924118.01861962408</v>
      </c>
      <c r="E143" s="527">
        <f>D143*E142</f>
        <v>951841.55917821277</v>
      </c>
      <c r="F143" s="527">
        <f>E143*F142</f>
        <v>980396.80595355923</v>
      </c>
      <c r="G143" s="527">
        <f>F143*G142</f>
        <v>1009808.710132166</v>
      </c>
      <c r="H143" s="527">
        <f>H5*$C$139*H142</f>
        <v>1043952.0193149627</v>
      </c>
      <c r="I143" s="527">
        <f>H143*I142</f>
        <v>1064831.059701262</v>
      </c>
      <c r="J143" s="527">
        <f t="shared" ref="J143:AH143" si="97">I143*J142</f>
        <v>1086127.6808952873</v>
      </c>
      <c r="K143" s="527">
        <f t="shared" si="97"/>
        <v>1107850.2345131931</v>
      </c>
      <c r="L143" s="527">
        <f t="shared" si="97"/>
        <v>1130007.239203457</v>
      </c>
      <c r="M143" s="527">
        <f t="shared" si="97"/>
        <v>1152607.3839875262</v>
      </c>
      <c r="N143" s="527">
        <f t="shared" si="97"/>
        <v>1187185.6055071519</v>
      </c>
      <c r="O143" s="527">
        <f t="shared" si="97"/>
        <v>1222801.1736723664</v>
      </c>
      <c r="P143" s="527">
        <f t="shared" si="97"/>
        <v>1259485.2088825374</v>
      </c>
      <c r="Q143" s="527">
        <f t="shared" si="97"/>
        <v>1297269.7651490136</v>
      </c>
      <c r="R143" s="527">
        <f t="shared" si="97"/>
        <v>1336187.8581034841</v>
      </c>
      <c r="S143" s="527">
        <f t="shared" si="97"/>
        <v>1376273.4938465888</v>
      </c>
      <c r="T143" s="527">
        <f t="shared" si="97"/>
        <v>1417561.6986619865</v>
      </c>
      <c r="U143" s="527">
        <f t="shared" si="97"/>
        <v>1460088.5496218461</v>
      </c>
      <c r="V143" s="527">
        <f t="shared" si="97"/>
        <v>1503891.2061105014</v>
      </c>
      <c r="W143" s="527">
        <f t="shared" si="97"/>
        <v>1556527.3983243688</v>
      </c>
      <c r="X143" s="527">
        <f t="shared" si="97"/>
        <v>1611005.8572657215</v>
      </c>
      <c r="Y143" s="527">
        <f t="shared" si="97"/>
        <v>1667391.0622700218</v>
      </c>
      <c r="Z143" s="527">
        <f t="shared" si="97"/>
        <v>1725749.7494494724</v>
      </c>
      <c r="AA143" s="527">
        <f t="shared" si="97"/>
        <v>1786150.9906802038</v>
      </c>
      <c r="AB143" s="527">
        <f t="shared" si="97"/>
        <v>1848666.2753540108</v>
      </c>
      <c r="AC143" s="527">
        <f t="shared" si="97"/>
        <v>1913369.5949914011</v>
      </c>
      <c r="AD143" s="527">
        <f t="shared" si="97"/>
        <v>1980337.5308160998</v>
      </c>
      <c r="AE143" s="527">
        <f t="shared" si="97"/>
        <v>2049649.3443946631</v>
      </c>
      <c r="AF143" s="527">
        <f t="shared" si="97"/>
        <v>2131635.3181704497</v>
      </c>
      <c r="AG143" s="527">
        <f t="shared" si="97"/>
        <v>2216900.7308972678</v>
      </c>
      <c r="AH143" s="527">
        <f t="shared" si="97"/>
        <v>2305576.7601331584</v>
      </c>
      <c r="AI143" s="527">
        <f t="shared" ref="AI143" si="98">AH143*AI142</f>
        <v>2397799.8305384847</v>
      </c>
      <c r="AJ143" s="527">
        <f t="shared" ref="AJ143" si="99">AI143*AJ142</f>
        <v>2493711.8237600243</v>
      </c>
      <c r="AK143" s="527">
        <f t="shared" ref="AK143" si="100">AJ143*AK142</f>
        <v>2593460.2967104255</v>
      </c>
      <c r="AL143" s="527">
        <f t="shared" ref="AL143" si="101">AK143*AL142</f>
        <v>2697198.7085788427</v>
      </c>
      <c r="AM143" s="527">
        <f t="shared" ref="AM143" si="102">AL143*AM142</f>
        <v>2805086.6569219963</v>
      </c>
    </row>
    <row r="144" spans="1:39" x14ac:dyDescent="0.2">
      <c r="D144" s="780"/>
    </row>
    <row r="145" spans="1:39" x14ac:dyDescent="0.2">
      <c r="A145" s="531" t="s">
        <v>625</v>
      </c>
      <c r="B145" s="485">
        <f>SUM(E145:AM145)</f>
        <v>-6254611.0449081548</v>
      </c>
      <c r="C145" s="485">
        <f t="shared" ref="C145:AH145" si="103">C143-C140</f>
        <v>0</v>
      </c>
      <c r="D145" s="485">
        <f t="shared" si="103"/>
        <v>0</v>
      </c>
      <c r="E145" s="485">
        <f t="shared" si="103"/>
        <v>0</v>
      </c>
      <c r="F145" s="485">
        <f t="shared" si="103"/>
        <v>0</v>
      </c>
      <c r="G145" s="485">
        <f>G143-G140</f>
        <v>0</v>
      </c>
      <c r="H145" s="485">
        <f t="shared" si="103"/>
        <v>3849.047878831625</v>
      </c>
      <c r="I145" s="485">
        <f t="shared" si="103"/>
        <v>-6475.0008779529016</v>
      </c>
      <c r="J145" s="485">
        <f t="shared" si="103"/>
        <v>-17317.561501304153</v>
      </c>
      <c r="K145" s="485">
        <f t="shared" si="103"/>
        <v>-28698.365155296167</v>
      </c>
      <c r="L145" s="485">
        <f t="shared" si="103"/>
        <v>-40637.818455087021</v>
      </c>
      <c r="M145" s="485">
        <f t="shared" si="103"/>
        <v>-53157.025400774321</v>
      </c>
      <c r="N145" s="485">
        <f t="shared" si="103"/>
        <v>-60780.558209738927</v>
      </c>
      <c r="O145" s="485">
        <f t="shared" si="103"/>
        <v>-68843.805774615612</v>
      </c>
      <c r="P145" s="485">
        <f t="shared" si="103"/>
        <v>-77367.344845088897</v>
      </c>
      <c r="Q145" s="485">
        <f t="shared" si="103"/>
        <v>-86372.627959079575</v>
      </c>
      <c r="R145" s="485">
        <f t="shared" si="103"/>
        <v>-95882.018763392232</v>
      </c>
      <c r="S145" s="485">
        <f t="shared" si="103"/>
        <v>-105918.82871062821</v>
      </c>
      <c r="T145" s="485">
        <f t="shared" si="103"/>
        <v>-116507.35518473294</v>
      </c>
      <c r="U145" s="485">
        <f t="shared" si="103"/>
        <v>-127672.92110950849</v>
      </c>
      <c r="V145" s="485">
        <f t="shared" si="103"/>
        <v>-139441.9160964503</v>
      </c>
      <c r="W145" s="485">
        <f t="shared" si="103"/>
        <v>-152539.048770861</v>
      </c>
      <c r="X145" s="485">
        <f t="shared" si="103"/>
        <v>-166423.2477133174</v>
      </c>
      <c r="Y145" s="485">
        <f t="shared" si="103"/>
        <v>-181135.20690817875</v>
      </c>
      <c r="Z145" s="485">
        <f t="shared" si="103"/>
        <v>-196717.57049585623</v>
      </c>
      <c r="AA145" s="485">
        <f t="shared" si="103"/>
        <v>-213215.02206293796</v>
      </c>
      <c r="AB145" s="485">
        <f t="shared" si="103"/>
        <v>-230674.37789885676</v>
      </c>
      <c r="AC145" s="485">
        <f t="shared" si="103"/>
        <v>-249144.68439158122</v>
      </c>
      <c r="AD145" s="485">
        <f t="shared" si="103"/>
        <v>-268677.31974220159</v>
      </c>
      <c r="AE145" s="485">
        <f t="shared" si="103"/>
        <v>-289326.10018597054</v>
      </c>
      <c r="AF145" s="485">
        <f t="shared" si="103"/>
        <v>-312594.02141631208</v>
      </c>
      <c r="AG145" s="485">
        <f t="shared" si="103"/>
        <v>-337318.92897089804</v>
      </c>
      <c r="AH145" s="485">
        <f t="shared" si="103"/>
        <v>-363582.78442907473</v>
      </c>
      <c r="AI145" s="485">
        <f t="shared" ref="AI145:AM145" si="104">AI143-AI140</f>
        <v>-391471.89352904866</v>
      </c>
      <c r="AJ145" s="485">
        <f t="shared" si="104"/>
        <v>-421077.12789054774</v>
      </c>
      <c r="AK145" s="485">
        <f t="shared" si="104"/>
        <v>-452494.15776442224</v>
      </c>
      <c r="AL145" s="485">
        <f t="shared" si="104"/>
        <v>-485823.69634737307</v>
      </c>
      <c r="AM145" s="485">
        <f t="shared" si="104"/>
        <v>-521171.75622589886</v>
      </c>
    </row>
    <row r="146" spans="1:39" x14ac:dyDescent="0.2">
      <c r="B146" s="247"/>
    </row>
    <row r="147" spans="1:39" ht="17.25" customHeight="1" x14ac:dyDescent="0.2">
      <c r="A147" s="235" t="s">
        <v>626</v>
      </c>
      <c r="E147" s="247"/>
    </row>
    <row r="148" spans="1:39" x14ac:dyDescent="0.2">
      <c r="A148" s="479" t="s">
        <v>33</v>
      </c>
      <c r="B148" s="498" t="s">
        <v>508</v>
      </c>
      <c r="C148" s="481">
        <v>2023</v>
      </c>
      <c r="D148" s="481">
        <v>2024</v>
      </c>
      <c r="E148" s="481">
        <v>2025</v>
      </c>
      <c r="F148" s="481">
        <v>2026</v>
      </c>
      <c r="G148" s="481">
        <v>2027</v>
      </c>
      <c r="H148" s="481">
        <v>2028</v>
      </c>
      <c r="I148" s="481">
        <v>2029</v>
      </c>
      <c r="J148" s="481">
        <v>2030</v>
      </c>
      <c r="K148" s="481">
        <v>2031</v>
      </c>
      <c r="L148" s="481">
        <v>2032</v>
      </c>
      <c r="M148" s="481">
        <v>2033</v>
      </c>
      <c r="N148" s="481">
        <v>2034</v>
      </c>
      <c r="O148" s="481">
        <v>2035</v>
      </c>
      <c r="P148" s="481">
        <v>2036</v>
      </c>
      <c r="Q148" s="481">
        <v>2037</v>
      </c>
      <c r="R148" s="481">
        <v>2038</v>
      </c>
      <c r="S148" s="481">
        <v>2039</v>
      </c>
      <c r="T148" s="481">
        <v>2040</v>
      </c>
      <c r="U148" s="481">
        <v>2041</v>
      </c>
      <c r="V148" s="481">
        <v>2042</v>
      </c>
      <c r="W148" s="481">
        <v>2043</v>
      </c>
      <c r="X148" s="481">
        <v>2044</v>
      </c>
      <c r="Y148" s="481">
        <v>2045</v>
      </c>
      <c r="Z148" s="481">
        <v>2046</v>
      </c>
      <c r="AA148" s="481">
        <v>2047</v>
      </c>
      <c r="AB148" s="481">
        <v>2048</v>
      </c>
      <c r="AC148" s="481">
        <v>2049</v>
      </c>
      <c r="AD148" s="481">
        <v>2050</v>
      </c>
      <c r="AE148" s="481">
        <v>2051</v>
      </c>
      <c r="AF148" s="481">
        <v>2052</v>
      </c>
      <c r="AG148" s="481">
        <v>2053</v>
      </c>
      <c r="AH148" s="481">
        <v>2054</v>
      </c>
      <c r="AI148" s="481">
        <v>2055</v>
      </c>
      <c r="AJ148" s="481">
        <v>2056</v>
      </c>
      <c r="AK148" s="481">
        <v>2057</v>
      </c>
      <c r="AL148" s="481">
        <v>2058</v>
      </c>
      <c r="AM148" s="481">
        <v>2059</v>
      </c>
    </row>
    <row r="149" spans="1:39" x14ac:dyDescent="0.2">
      <c r="A149" s="530" t="s">
        <v>582</v>
      </c>
      <c r="B149" s="232"/>
      <c r="C149" s="532">
        <f>C79</f>
        <v>1</v>
      </c>
      <c r="D149" s="532">
        <f t="shared" ref="D149:AH149" si="105">D79</f>
        <v>1.0049999999999999</v>
      </c>
      <c r="E149" s="532">
        <f t="shared" si="105"/>
        <v>1.0049999999999999</v>
      </c>
      <c r="F149" s="532">
        <f t="shared" si="105"/>
        <v>1.0049999999999999</v>
      </c>
      <c r="G149" s="532">
        <f t="shared" si="105"/>
        <v>1.0049999999999999</v>
      </c>
      <c r="H149" s="532">
        <f t="shared" si="105"/>
        <v>1.0049999999999999</v>
      </c>
      <c r="I149" s="532">
        <f t="shared" si="105"/>
        <v>1.0049999999999999</v>
      </c>
      <c r="J149" s="532">
        <f t="shared" si="105"/>
        <v>1.0049999999999999</v>
      </c>
      <c r="K149" s="532">
        <f t="shared" si="105"/>
        <v>1.0049999999999999</v>
      </c>
      <c r="L149" s="532">
        <f t="shared" si="105"/>
        <v>1.0049999999999999</v>
      </c>
      <c r="M149" s="532">
        <f t="shared" si="105"/>
        <v>1.0049999999999999</v>
      </c>
      <c r="N149" s="532">
        <f t="shared" si="105"/>
        <v>1.0049999999999999</v>
      </c>
      <c r="O149" s="532">
        <f t="shared" si="105"/>
        <v>1.0049999999999999</v>
      </c>
      <c r="P149" s="532">
        <f t="shared" si="105"/>
        <v>1.0049999999999999</v>
      </c>
      <c r="Q149" s="532">
        <f t="shared" si="105"/>
        <v>1.0049999999999999</v>
      </c>
      <c r="R149" s="532">
        <f t="shared" si="105"/>
        <v>1.0049999999999999</v>
      </c>
      <c r="S149" s="532">
        <f t="shared" si="105"/>
        <v>1.0049999999999999</v>
      </c>
      <c r="T149" s="532">
        <f t="shared" si="105"/>
        <v>1.0049999999999999</v>
      </c>
      <c r="U149" s="532">
        <f t="shared" si="105"/>
        <v>1.0049999999999999</v>
      </c>
      <c r="V149" s="532">
        <f t="shared" si="105"/>
        <v>1.0049999999999999</v>
      </c>
      <c r="W149" s="532">
        <f t="shared" si="105"/>
        <v>1.0049999999999999</v>
      </c>
      <c r="X149" s="532">
        <f t="shared" si="105"/>
        <v>1.0049999999999999</v>
      </c>
      <c r="Y149" s="532">
        <f t="shared" si="105"/>
        <v>1.0049999999999999</v>
      </c>
      <c r="Z149" s="532">
        <f t="shared" si="105"/>
        <v>1.0049999999999999</v>
      </c>
      <c r="AA149" s="532">
        <f t="shared" si="105"/>
        <v>1.0049999999999999</v>
      </c>
      <c r="AB149" s="532">
        <f t="shared" si="105"/>
        <v>1.0049999999999999</v>
      </c>
      <c r="AC149" s="532">
        <f t="shared" si="105"/>
        <v>1.0049999999999999</v>
      </c>
      <c r="AD149" s="532">
        <f t="shared" si="105"/>
        <v>1.0049999999999999</v>
      </c>
      <c r="AE149" s="532">
        <f t="shared" si="105"/>
        <v>1.0049999999999999</v>
      </c>
      <c r="AF149" s="532">
        <f t="shared" si="105"/>
        <v>1.0049999999999999</v>
      </c>
      <c r="AG149" s="532">
        <f t="shared" si="105"/>
        <v>1.0049999999999999</v>
      </c>
      <c r="AH149" s="532">
        <f t="shared" si="105"/>
        <v>1.0049999999999999</v>
      </c>
      <c r="AI149" s="532">
        <f t="shared" ref="AI149:AM149" si="106">AI79</f>
        <v>1.0049999999999999</v>
      </c>
      <c r="AJ149" s="532">
        <f t="shared" si="106"/>
        <v>1.0049999999999999</v>
      </c>
      <c r="AK149" s="532">
        <f t="shared" si="106"/>
        <v>1.0049999999999999</v>
      </c>
      <c r="AL149" s="532">
        <f t="shared" si="106"/>
        <v>1.0049999999999999</v>
      </c>
      <c r="AM149" s="532">
        <f t="shared" si="106"/>
        <v>1.0049999999999999</v>
      </c>
    </row>
    <row r="150" spans="1:39" x14ac:dyDescent="0.2">
      <c r="A150" s="544" t="s">
        <v>627</v>
      </c>
      <c r="B150" s="533"/>
      <c r="C150" s="785">
        <f>D32</f>
        <v>0.25822817409219678</v>
      </c>
      <c r="D150" s="539"/>
      <c r="E150" s="539"/>
      <c r="F150" s="539"/>
      <c r="G150" s="539"/>
      <c r="H150" s="539"/>
      <c r="I150" s="539"/>
      <c r="J150" s="539"/>
      <c r="K150" s="539"/>
      <c r="L150" s="539"/>
      <c r="M150" s="539"/>
      <c r="N150" s="539"/>
      <c r="O150" s="539"/>
      <c r="P150" s="539"/>
      <c r="Q150" s="539"/>
      <c r="R150" s="539"/>
      <c r="S150" s="539"/>
      <c r="T150" s="539"/>
      <c r="U150" s="539"/>
      <c r="V150" s="539"/>
      <c r="W150" s="539"/>
      <c r="X150" s="539"/>
      <c r="Y150" s="539"/>
      <c r="Z150" s="539"/>
      <c r="AA150" s="539"/>
      <c r="AB150" s="539"/>
      <c r="AC150" s="539"/>
      <c r="AD150" s="539"/>
      <c r="AE150" s="539"/>
      <c r="AF150" s="539"/>
      <c r="AG150" s="539"/>
      <c r="AH150" s="539"/>
      <c r="AI150" s="539"/>
      <c r="AJ150" s="539"/>
      <c r="AK150" s="539"/>
      <c r="AL150" s="539"/>
      <c r="AM150" s="539"/>
    </row>
    <row r="151" spans="1:39" x14ac:dyDescent="0.2">
      <c r="A151" s="540" t="s">
        <v>628</v>
      </c>
      <c r="B151" s="485">
        <f>SUM(E151:AM151)</f>
        <v>12796948.902141545</v>
      </c>
      <c r="C151" s="527">
        <f>C4*$C$150*C149</f>
        <v>332148.57120782905</v>
      </c>
      <c r="D151" s="527">
        <f t="shared" ref="D151:AH151" si="107">C151*D149</f>
        <v>333809.31406386814</v>
      </c>
      <c r="E151" s="527">
        <f t="shared" si="107"/>
        <v>335478.36063418747</v>
      </c>
      <c r="F151" s="527">
        <f t="shared" si="107"/>
        <v>337155.75243735837</v>
      </c>
      <c r="G151" s="527">
        <f t="shared" si="107"/>
        <v>338841.53119954513</v>
      </c>
      <c r="H151" s="527">
        <f t="shared" si="107"/>
        <v>340535.73885554285</v>
      </c>
      <c r="I151" s="527">
        <f t="shared" si="107"/>
        <v>342238.4175498205</v>
      </c>
      <c r="J151" s="527">
        <f t="shared" si="107"/>
        <v>343949.60963756958</v>
      </c>
      <c r="K151" s="527">
        <f t="shared" si="107"/>
        <v>345669.35768575739</v>
      </c>
      <c r="L151" s="527">
        <f t="shared" si="107"/>
        <v>347397.70447418612</v>
      </c>
      <c r="M151" s="527">
        <f t="shared" si="107"/>
        <v>349134.69299655699</v>
      </c>
      <c r="N151" s="527">
        <f t="shared" si="107"/>
        <v>350880.36646153976</v>
      </c>
      <c r="O151" s="527">
        <f t="shared" si="107"/>
        <v>352634.76829384745</v>
      </c>
      <c r="P151" s="527">
        <f t="shared" si="107"/>
        <v>354397.94213531667</v>
      </c>
      <c r="Q151" s="527">
        <f t="shared" si="107"/>
        <v>356169.93184599321</v>
      </c>
      <c r="R151" s="527">
        <f t="shared" si="107"/>
        <v>357950.78150522313</v>
      </c>
      <c r="S151" s="527">
        <f t="shared" si="107"/>
        <v>359740.53541274922</v>
      </c>
      <c r="T151" s="527">
        <f t="shared" si="107"/>
        <v>361539.23808981292</v>
      </c>
      <c r="U151" s="527">
        <f t="shared" si="107"/>
        <v>363346.93428026192</v>
      </c>
      <c r="V151" s="527">
        <f t="shared" si="107"/>
        <v>365163.66895166319</v>
      </c>
      <c r="W151" s="527">
        <f t="shared" si="107"/>
        <v>366989.48729642149</v>
      </c>
      <c r="X151" s="527">
        <f t="shared" si="107"/>
        <v>368824.43473290355</v>
      </c>
      <c r="Y151" s="527">
        <f t="shared" si="107"/>
        <v>370668.556906568</v>
      </c>
      <c r="Z151" s="527">
        <f t="shared" si="107"/>
        <v>372521.89969110081</v>
      </c>
      <c r="AA151" s="527">
        <f t="shared" si="107"/>
        <v>374384.50918955629</v>
      </c>
      <c r="AB151" s="527">
        <f t="shared" si="107"/>
        <v>376256.43173550401</v>
      </c>
      <c r="AC151" s="527">
        <f t="shared" si="107"/>
        <v>378137.71389418148</v>
      </c>
      <c r="AD151" s="527">
        <f t="shared" si="107"/>
        <v>380028.40246365237</v>
      </c>
      <c r="AE151" s="527">
        <f t="shared" si="107"/>
        <v>381928.54447597062</v>
      </c>
      <c r="AF151" s="527">
        <f t="shared" si="107"/>
        <v>383838.18719835044</v>
      </c>
      <c r="AG151" s="527">
        <f t="shared" si="107"/>
        <v>385757.37813434214</v>
      </c>
      <c r="AH151" s="527">
        <f t="shared" si="107"/>
        <v>387686.16502501379</v>
      </c>
      <c r="AI151" s="527">
        <f t="shared" ref="AI151" si="108">AH151*AI149</f>
        <v>389624.59585013881</v>
      </c>
      <c r="AJ151" s="527">
        <f t="shared" ref="AJ151" si="109">AI151*AJ149</f>
        <v>391572.71882938949</v>
      </c>
      <c r="AK151" s="527">
        <f t="shared" ref="AK151" si="110">AJ151*AK149</f>
        <v>393530.5824235364</v>
      </c>
      <c r="AL151" s="527">
        <f t="shared" ref="AL151" si="111">AK151*AL149</f>
        <v>395498.23533565406</v>
      </c>
      <c r="AM151" s="527">
        <f t="shared" ref="AM151" si="112">AL151*AM149</f>
        <v>397475.72651233227</v>
      </c>
    </row>
    <row r="152" spans="1:39" x14ac:dyDescent="0.2">
      <c r="A152" s="528" t="s">
        <v>34</v>
      </c>
      <c r="B152" s="498" t="s">
        <v>508</v>
      </c>
      <c r="C152" s="778"/>
      <c r="D152" s="778"/>
      <c r="E152" s="529"/>
      <c r="F152" s="529"/>
      <c r="G152" s="529"/>
      <c r="H152" s="529"/>
      <c r="I152" s="529"/>
      <c r="J152" s="529"/>
      <c r="K152" s="529"/>
      <c r="L152" s="529"/>
      <c r="M152" s="529"/>
      <c r="N152" s="529"/>
      <c r="O152" s="529"/>
      <c r="P152" s="529"/>
      <c r="Q152" s="529"/>
      <c r="R152" s="529"/>
      <c r="S152" s="529"/>
      <c r="T152" s="529"/>
      <c r="U152" s="529"/>
      <c r="V152" s="529"/>
      <c r="W152" s="529"/>
      <c r="X152" s="529"/>
      <c r="Y152" s="529"/>
      <c r="Z152" s="529"/>
      <c r="AA152" s="529"/>
      <c r="AB152" s="529"/>
      <c r="AC152" s="529"/>
      <c r="AD152" s="529"/>
      <c r="AE152" s="529"/>
      <c r="AF152" s="529"/>
      <c r="AG152" s="529"/>
      <c r="AH152" s="529"/>
      <c r="AI152" s="529"/>
      <c r="AJ152" s="529"/>
      <c r="AK152" s="529"/>
      <c r="AL152" s="529"/>
      <c r="AM152" s="529"/>
    </row>
    <row r="153" spans="1:39" x14ac:dyDescent="0.2">
      <c r="A153" s="543" t="s">
        <v>582</v>
      </c>
      <c r="B153" s="532"/>
      <c r="C153" s="532">
        <f>C80</f>
        <v>1</v>
      </c>
      <c r="D153" s="532">
        <f t="shared" ref="D153:AH153" si="113">D80</f>
        <v>1.0049999999999999</v>
      </c>
      <c r="E153" s="532">
        <f t="shared" si="113"/>
        <v>1.0049999999999999</v>
      </c>
      <c r="F153" s="532">
        <f t="shared" si="113"/>
        <v>1.0049999999999999</v>
      </c>
      <c r="G153" s="532">
        <f t="shared" si="113"/>
        <v>1.0049999999999999</v>
      </c>
      <c r="H153" s="532">
        <f t="shared" si="113"/>
        <v>1.0049999999999999</v>
      </c>
      <c r="I153" s="532">
        <f t="shared" si="113"/>
        <v>1.0049999999999999</v>
      </c>
      <c r="J153" s="532">
        <f t="shared" si="113"/>
        <v>1.0049999999999999</v>
      </c>
      <c r="K153" s="532">
        <f t="shared" si="113"/>
        <v>1.0049999999999999</v>
      </c>
      <c r="L153" s="532">
        <f t="shared" si="113"/>
        <v>1.0049999999999999</v>
      </c>
      <c r="M153" s="532">
        <f t="shared" si="113"/>
        <v>1.0049999999999999</v>
      </c>
      <c r="N153" s="532">
        <f t="shared" si="113"/>
        <v>1.0049999999999999</v>
      </c>
      <c r="O153" s="532">
        <f t="shared" si="113"/>
        <v>1.0049999999999999</v>
      </c>
      <c r="P153" s="532">
        <f t="shared" si="113"/>
        <v>1.0049999999999999</v>
      </c>
      <c r="Q153" s="532">
        <f t="shared" si="113"/>
        <v>1.0049999999999999</v>
      </c>
      <c r="R153" s="532">
        <f t="shared" si="113"/>
        <v>1.0049999999999999</v>
      </c>
      <c r="S153" s="532">
        <f t="shared" si="113"/>
        <v>1.0049999999999999</v>
      </c>
      <c r="T153" s="532">
        <f t="shared" si="113"/>
        <v>1.0049999999999999</v>
      </c>
      <c r="U153" s="532">
        <f t="shared" si="113"/>
        <v>1.0049999999999999</v>
      </c>
      <c r="V153" s="532">
        <f t="shared" si="113"/>
        <v>1.0049999999999999</v>
      </c>
      <c r="W153" s="532">
        <f t="shared" si="113"/>
        <v>1.0049999999999999</v>
      </c>
      <c r="X153" s="532">
        <f t="shared" si="113"/>
        <v>1.0049999999999999</v>
      </c>
      <c r="Y153" s="532">
        <f t="shared" si="113"/>
        <v>1.0049999999999999</v>
      </c>
      <c r="Z153" s="532">
        <f t="shared" si="113"/>
        <v>1.0049999999999999</v>
      </c>
      <c r="AA153" s="532">
        <f t="shared" si="113"/>
        <v>1.0049999999999999</v>
      </c>
      <c r="AB153" s="532">
        <f t="shared" si="113"/>
        <v>1.0049999999999999</v>
      </c>
      <c r="AC153" s="532">
        <f t="shared" si="113"/>
        <v>1.0049999999999999</v>
      </c>
      <c r="AD153" s="532">
        <f t="shared" si="113"/>
        <v>1.0049999999999999</v>
      </c>
      <c r="AE153" s="532">
        <f t="shared" si="113"/>
        <v>1.0049999999999999</v>
      </c>
      <c r="AF153" s="532">
        <f t="shared" si="113"/>
        <v>1.0049999999999999</v>
      </c>
      <c r="AG153" s="532">
        <f t="shared" si="113"/>
        <v>1.0049999999999999</v>
      </c>
      <c r="AH153" s="532">
        <f t="shared" si="113"/>
        <v>1.0049999999999999</v>
      </c>
      <c r="AI153" s="532">
        <f t="shared" ref="AI153:AM153" si="114">AI80</f>
        <v>1.0049999999999999</v>
      </c>
      <c r="AJ153" s="532">
        <f t="shared" si="114"/>
        <v>1.0049999999999999</v>
      </c>
      <c r="AK153" s="532">
        <f t="shared" si="114"/>
        <v>1.0049999999999999</v>
      </c>
      <c r="AL153" s="532">
        <f t="shared" si="114"/>
        <v>1.0049999999999999</v>
      </c>
      <c r="AM153" s="532">
        <f t="shared" si="114"/>
        <v>1.0049999999999999</v>
      </c>
    </row>
    <row r="154" spans="1:39" x14ac:dyDescent="0.2">
      <c r="A154" s="540" t="s">
        <v>629</v>
      </c>
      <c r="B154" s="485">
        <f>SUM(E154:AM154)</f>
        <v>14190186.606666125</v>
      </c>
      <c r="C154" s="527">
        <f>C5*$C$150*C153</f>
        <v>332148.57120782905</v>
      </c>
      <c r="D154" s="527">
        <f>C154*D153</f>
        <v>333809.31406386814</v>
      </c>
      <c r="E154" s="527">
        <f>D154*E153</f>
        <v>335478.36063418747</v>
      </c>
      <c r="F154" s="527">
        <f>E154*F153</f>
        <v>337155.75243735837</v>
      </c>
      <c r="G154" s="527">
        <f>F154*G153</f>
        <v>338841.53119954513</v>
      </c>
      <c r="H154" s="527">
        <f>H5*$C$150*H153</f>
        <v>380792.69084470771</v>
      </c>
      <c r="I154" s="527">
        <f>H154*I153</f>
        <v>382696.65429893119</v>
      </c>
      <c r="J154" s="527">
        <f>I154*J153</f>
        <v>384610.13757042581</v>
      </c>
      <c r="K154" s="527">
        <f t="shared" ref="K154:AH154" si="115">J154*K153</f>
        <v>386533.18825827789</v>
      </c>
      <c r="L154" s="527">
        <f t="shared" si="115"/>
        <v>388465.85419956926</v>
      </c>
      <c r="M154" s="527">
        <f t="shared" si="115"/>
        <v>390408.18347056705</v>
      </c>
      <c r="N154" s="527">
        <f t="shared" si="115"/>
        <v>392360.22438791982</v>
      </c>
      <c r="O154" s="527">
        <f t="shared" si="115"/>
        <v>394322.02550985938</v>
      </c>
      <c r="P154" s="527">
        <f t="shared" si="115"/>
        <v>396293.63563740865</v>
      </c>
      <c r="Q154" s="527">
        <f t="shared" si="115"/>
        <v>398275.10381559562</v>
      </c>
      <c r="R154" s="527">
        <f t="shared" si="115"/>
        <v>400266.47933467355</v>
      </c>
      <c r="S154" s="527">
        <f t="shared" si="115"/>
        <v>402267.81173134688</v>
      </c>
      <c r="T154" s="527">
        <f t="shared" si="115"/>
        <v>404279.15079000359</v>
      </c>
      <c r="U154" s="527">
        <f t="shared" si="115"/>
        <v>406300.54654395359</v>
      </c>
      <c r="V154" s="527">
        <f t="shared" si="115"/>
        <v>408332.04927667329</v>
      </c>
      <c r="W154" s="527">
        <f t="shared" si="115"/>
        <v>410373.70952305663</v>
      </c>
      <c r="X154" s="527">
        <f t="shared" si="115"/>
        <v>412425.57807067188</v>
      </c>
      <c r="Y154" s="527">
        <f t="shared" si="115"/>
        <v>414487.7059610252</v>
      </c>
      <c r="Z154" s="527">
        <f t="shared" si="115"/>
        <v>416560.14449083031</v>
      </c>
      <c r="AA154" s="527">
        <f t="shared" si="115"/>
        <v>418642.9452132844</v>
      </c>
      <c r="AB154" s="527">
        <f t="shared" si="115"/>
        <v>420736.15993935079</v>
      </c>
      <c r="AC154" s="527">
        <f t="shared" si="115"/>
        <v>422839.8407390475</v>
      </c>
      <c r="AD154" s="527">
        <f t="shared" si="115"/>
        <v>424954.03994274267</v>
      </c>
      <c r="AE154" s="527">
        <f t="shared" si="115"/>
        <v>427078.81014245632</v>
      </c>
      <c r="AF154" s="527">
        <f t="shared" si="115"/>
        <v>429214.20419316855</v>
      </c>
      <c r="AG154" s="527">
        <f t="shared" si="115"/>
        <v>431360.27521413437</v>
      </c>
      <c r="AH154" s="527">
        <f t="shared" si="115"/>
        <v>433517.07659020502</v>
      </c>
      <c r="AI154" s="527">
        <f t="shared" ref="AI154" si="116">AH154*AI153</f>
        <v>435684.66197315598</v>
      </c>
      <c r="AJ154" s="527">
        <f t="shared" ref="AJ154" si="117">AI154*AJ153</f>
        <v>437863.08528302173</v>
      </c>
      <c r="AK154" s="527">
        <f t="shared" ref="AK154" si="118">AJ154*AK153</f>
        <v>440052.4007094368</v>
      </c>
      <c r="AL154" s="527">
        <f t="shared" ref="AL154" si="119">AK154*AL153</f>
        <v>442252.66271298396</v>
      </c>
      <c r="AM154" s="527">
        <f t="shared" ref="AM154" si="120">AL154*AM153</f>
        <v>444463.92602654884</v>
      </c>
    </row>
    <row r="155" spans="1:39" x14ac:dyDescent="0.2">
      <c r="D155" s="780"/>
    </row>
    <row r="156" spans="1:39" x14ac:dyDescent="0.2">
      <c r="A156" s="531" t="s">
        <v>635</v>
      </c>
      <c r="B156" s="485">
        <f>SUM(D156:AM156)</f>
        <v>1393237.7045245769</v>
      </c>
      <c r="C156" s="485">
        <f>C154-C151</f>
        <v>0</v>
      </c>
      <c r="D156" s="485">
        <f>D154-D151</f>
        <v>0</v>
      </c>
      <c r="E156" s="485">
        <f t="shared" ref="E156:AH156" si="121">E154-E151</f>
        <v>0</v>
      </c>
      <c r="F156" s="485">
        <f t="shared" si="121"/>
        <v>0</v>
      </c>
      <c r="G156" s="485">
        <f>G154-G151</f>
        <v>0</v>
      </c>
      <c r="H156" s="485">
        <f t="shared" si="121"/>
        <v>40256.951989164867</v>
      </c>
      <c r="I156" s="485">
        <f t="shared" si="121"/>
        <v>40458.236749110685</v>
      </c>
      <c r="J156" s="485">
        <f t="shared" si="121"/>
        <v>40660.527932856232</v>
      </c>
      <c r="K156" s="485">
        <f t="shared" si="121"/>
        <v>40863.830572520499</v>
      </c>
      <c r="L156" s="485">
        <f t="shared" si="121"/>
        <v>41068.149725383148</v>
      </c>
      <c r="M156" s="485">
        <f t="shared" si="121"/>
        <v>41273.490474010061</v>
      </c>
      <c r="N156" s="485">
        <f t="shared" si="121"/>
        <v>41479.857926380064</v>
      </c>
      <c r="O156" s="485">
        <f t="shared" si="121"/>
        <v>41687.257216011931</v>
      </c>
      <c r="P156" s="485">
        <f t="shared" si="121"/>
        <v>41895.693502091977</v>
      </c>
      <c r="Q156" s="485">
        <f t="shared" si="121"/>
        <v>42105.171969602408</v>
      </c>
      <c r="R156" s="485">
        <f t="shared" si="121"/>
        <v>42315.697829450422</v>
      </c>
      <c r="S156" s="485">
        <f t="shared" si="121"/>
        <v>42527.276318597666</v>
      </c>
      <c r="T156" s="485">
        <f t="shared" si="121"/>
        <v>42739.912700190675</v>
      </c>
      <c r="U156" s="485">
        <f t="shared" si="121"/>
        <v>42953.61226369167</v>
      </c>
      <c r="V156" s="485">
        <f t="shared" si="121"/>
        <v>43168.380325010105</v>
      </c>
      <c r="W156" s="485">
        <f t="shared" si="121"/>
        <v>43384.222226635145</v>
      </c>
      <c r="X156" s="485">
        <f t="shared" si="121"/>
        <v>43601.143337768328</v>
      </c>
      <c r="Y156" s="485">
        <f t="shared" si="121"/>
        <v>43819.149054457201</v>
      </c>
      <c r="Z156" s="485">
        <f t="shared" si="121"/>
        <v>44038.244799729495</v>
      </c>
      <c r="AA156" s="485">
        <f t="shared" si="121"/>
        <v>44258.436023728107</v>
      </c>
      <c r="AB156" s="485">
        <f t="shared" si="121"/>
        <v>44479.728203846782</v>
      </c>
      <c r="AC156" s="485">
        <f t="shared" si="121"/>
        <v>44702.126844866027</v>
      </c>
      <c r="AD156" s="485">
        <f t="shared" si="121"/>
        <v>44925.637479090306</v>
      </c>
      <c r="AE156" s="485">
        <f t="shared" si="121"/>
        <v>45150.265666485706</v>
      </c>
      <c r="AF156" s="485">
        <f t="shared" si="121"/>
        <v>45376.016994818114</v>
      </c>
      <c r="AG156" s="485">
        <f t="shared" si="121"/>
        <v>45602.897079792223</v>
      </c>
      <c r="AH156" s="485">
        <f t="shared" si="121"/>
        <v>45830.911565191229</v>
      </c>
      <c r="AI156" s="485">
        <f t="shared" ref="AI156:AM156" si="122">AI154-AI151</f>
        <v>46060.066123017168</v>
      </c>
      <c r="AJ156" s="485">
        <f t="shared" si="122"/>
        <v>46290.366453632247</v>
      </c>
      <c r="AK156" s="485">
        <f t="shared" si="122"/>
        <v>46521.818285900401</v>
      </c>
      <c r="AL156" s="485">
        <f t="shared" si="122"/>
        <v>46754.427377329906</v>
      </c>
      <c r="AM156" s="485">
        <f t="shared" si="122"/>
        <v>46988.199514216569</v>
      </c>
    </row>
    <row r="157" spans="1:39" ht="18.75" customHeight="1" x14ac:dyDescent="0.2">
      <c r="B157" s="247"/>
      <c r="F157" s="545"/>
    </row>
    <row r="158" spans="1:39" x14ac:dyDescent="0.2">
      <c r="A158" s="235" t="s">
        <v>640</v>
      </c>
      <c r="F158" s="545"/>
    </row>
    <row r="159" spans="1:39" s="515" customFormat="1" x14ac:dyDescent="0.2">
      <c r="A159" s="479" t="s">
        <v>33</v>
      </c>
      <c r="B159" s="498" t="s">
        <v>508</v>
      </c>
      <c r="C159" s="481">
        <v>2023</v>
      </c>
      <c r="D159" s="481">
        <v>2024</v>
      </c>
      <c r="E159" s="481">
        <v>2025</v>
      </c>
      <c r="F159" s="481">
        <v>2026</v>
      </c>
      <c r="G159" s="481">
        <v>2027</v>
      </c>
      <c r="H159" s="481">
        <v>2028</v>
      </c>
      <c r="I159" s="481">
        <v>2029</v>
      </c>
      <c r="J159" s="481">
        <v>2030</v>
      </c>
      <c r="K159" s="481">
        <v>2031</v>
      </c>
      <c r="L159" s="481">
        <v>2032</v>
      </c>
      <c r="M159" s="481">
        <v>2033</v>
      </c>
      <c r="N159" s="481">
        <v>2034</v>
      </c>
      <c r="O159" s="481">
        <v>2035</v>
      </c>
      <c r="P159" s="481">
        <v>2036</v>
      </c>
      <c r="Q159" s="481">
        <v>2037</v>
      </c>
      <c r="R159" s="481">
        <v>2038</v>
      </c>
      <c r="S159" s="481">
        <v>2039</v>
      </c>
      <c r="T159" s="481">
        <v>2040</v>
      </c>
      <c r="U159" s="481">
        <v>2041</v>
      </c>
      <c r="V159" s="481">
        <v>2042</v>
      </c>
      <c r="W159" s="481">
        <v>2043</v>
      </c>
      <c r="X159" s="481">
        <v>2044</v>
      </c>
      <c r="Y159" s="481">
        <v>2045</v>
      </c>
      <c r="Z159" s="481">
        <v>2046</v>
      </c>
      <c r="AA159" s="481">
        <v>2047</v>
      </c>
      <c r="AB159" s="481">
        <v>2048</v>
      </c>
      <c r="AC159" s="481">
        <v>2049</v>
      </c>
      <c r="AD159" s="481">
        <v>2050</v>
      </c>
      <c r="AE159" s="481">
        <v>2051</v>
      </c>
      <c r="AF159" s="481">
        <v>2052</v>
      </c>
      <c r="AG159" s="481">
        <v>2053</v>
      </c>
      <c r="AH159" s="481">
        <v>2054</v>
      </c>
      <c r="AI159" s="481">
        <v>2055</v>
      </c>
      <c r="AJ159" s="481">
        <v>2056</v>
      </c>
      <c r="AK159" s="481">
        <v>2057</v>
      </c>
      <c r="AL159" s="481">
        <v>2058</v>
      </c>
      <c r="AM159" s="481">
        <v>2059</v>
      </c>
    </row>
    <row r="160" spans="1:39" x14ac:dyDescent="0.2">
      <c r="A160" s="546" t="s">
        <v>641</v>
      </c>
      <c r="B160" s="547"/>
      <c r="C160" s="785">
        <f>D33</f>
        <v>1.9572495493175381E-2</v>
      </c>
      <c r="D160" s="548"/>
      <c r="E160" s="548"/>
      <c r="F160" s="548"/>
      <c r="G160" s="548"/>
      <c r="H160" s="548"/>
      <c r="I160" s="548"/>
      <c r="J160" s="548"/>
      <c r="K160" s="548"/>
      <c r="L160" s="548"/>
      <c r="M160" s="548"/>
      <c r="N160" s="548"/>
      <c r="O160" s="548"/>
      <c r="P160" s="548"/>
      <c r="Q160" s="548"/>
      <c r="R160" s="548"/>
      <c r="S160" s="548"/>
      <c r="T160" s="548"/>
      <c r="U160" s="548"/>
      <c r="V160" s="548"/>
      <c r="W160" s="548"/>
      <c r="X160" s="548"/>
      <c r="Y160" s="548"/>
      <c r="Z160" s="548"/>
      <c r="AA160" s="548"/>
      <c r="AB160" s="548"/>
      <c r="AC160" s="548"/>
      <c r="AD160" s="548"/>
      <c r="AE160" s="548"/>
      <c r="AF160" s="548"/>
      <c r="AG160" s="548"/>
      <c r="AH160" s="548"/>
      <c r="AI160" s="548"/>
      <c r="AJ160" s="548"/>
      <c r="AK160" s="548"/>
      <c r="AL160" s="548"/>
      <c r="AM160" s="548"/>
    </row>
    <row r="161" spans="1:39" x14ac:dyDescent="0.2">
      <c r="A161" s="543" t="s">
        <v>582</v>
      </c>
      <c r="B161" s="547"/>
      <c r="C161" s="786">
        <f>C82</f>
        <v>1</v>
      </c>
      <c r="D161" s="786">
        <f t="shared" ref="D161:AH161" si="123">D82</f>
        <v>1.01</v>
      </c>
      <c r="E161" s="786">
        <f t="shared" si="123"/>
        <v>1.01</v>
      </c>
      <c r="F161" s="786">
        <f t="shared" si="123"/>
        <v>1.01</v>
      </c>
      <c r="G161" s="786">
        <f t="shared" si="123"/>
        <v>1.01</v>
      </c>
      <c r="H161" s="786">
        <f t="shared" si="123"/>
        <v>1.01</v>
      </c>
      <c r="I161" s="786">
        <f t="shared" si="123"/>
        <v>1.01</v>
      </c>
      <c r="J161" s="786">
        <f t="shared" si="123"/>
        <v>1.01</v>
      </c>
      <c r="K161" s="786">
        <f t="shared" si="123"/>
        <v>1.01</v>
      </c>
      <c r="L161" s="786">
        <f t="shared" si="123"/>
        <v>1.01</v>
      </c>
      <c r="M161" s="786">
        <f t="shared" si="123"/>
        <v>1.01</v>
      </c>
      <c r="N161" s="786">
        <f t="shared" si="123"/>
        <v>1.01</v>
      </c>
      <c r="O161" s="786">
        <f t="shared" si="123"/>
        <v>1.01</v>
      </c>
      <c r="P161" s="786">
        <f t="shared" si="123"/>
        <v>1.01</v>
      </c>
      <c r="Q161" s="786">
        <f t="shared" si="123"/>
        <v>1.01</v>
      </c>
      <c r="R161" s="786">
        <f t="shared" si="123"/>
        <v>1.01</v>
      </c>
      <c r="S161" s="786">
        <f t="shared" si="123"/>
        <v>1.01</v>
      </c>
      <c r="T161" s="786">
        <f t="shared" si="123"/>
        <v>1.01</v>
      </c>
      <c r="U161" s="786">
        <f t="shared" si="123"/>
        <v>1.01</v>
      </c>
      <c r="V161" s="786">
        <f t="shared" si="123"/>
        <v>1.01</v>
      </c>
      <c r="W161" s="786">
        <f t="shared" si="123"/>
        <v>1.01</v>
      </c>
      <c r="X161" s="786">
        <f t="shared" si="123"/>
        <v>1.01</v>
      </c>
      <c r="Y161" s="786">
        <f t="shared" si="123"/>
        <v>1.01</v>
      </c>
      <c r="Z161" s="786">
        <f t="shared" si="123"/>
        <v>1.01</v>
      </c>
      <c r="AA161" s="786">
        <f t="shared" si="123"/>
        <v>1.01</v>
      </c>
      <c r="AB161" s="786">
        <f t="shared" si="123"/>
        <v>1.01</v>
      </c>
      <c r="AC161" s="786">
        <f t="shared" si="123"/>
        <v>1.01</v>
      </c>
      <c r="AD161" s="786">
        <f t="shared" si="123"/>
        <v>1.01</v>
      </c>
      <c r="AE161" s="786">
        <f t="shared" si="123"/>
        <v>1.01</v>
      </c>
      <c r="AF161" s="786">
        <f t="shared" si="123"/>
        <v>1.01</v>
      </c>
      <c r="AG161" s="786">
        <f t="shared" si="123"/>
        <v>1.01</v>
      </c>
      <c r="AH161" s="786">
        <f t="shared" si="123"/>
        <v>1.01</v>
      </c>
      <c r="AI161" s="786">
        <f t="shared" ref="AI161:AM161" si="124">AI82</f>
        <v>1.01</v>
      </c>
      <c r="AJ161" s="786">
        <f t="shared" si="124"/>
        <v>1.01</v>
      </c>
      <c r="AK161" s="786">
        <f t="shared" si="124"/>
        <v>1.01</v>
      </c>
      <c r="AL161" s="786">
        <f t="shared" si="124"/>
        <v>1.01</v>
      </c>
      <c r="AM161" s="786">
        <f t="shared" si="124"/>
        <v>1.01</v>
      </c>
    </row>
    <row r="162" spans="1:39" x14ac:dyDescent="0.2">
      <c r="A162" s="540" t="s">
        <v>641</v>
      </c>
      <c r="B162" s="485">
        <f>SUM(E162:AM162)</f>
        <v>1069891.7833250889</v>
      </c>
      <c r="C162" s="527">
        <f t="shared" ref="C162" si="125">C4*$C$160*C161</f>
        <v>25175.318053051767</v>
      </c>
      <c r="D162" s="527">
        <f>C162*D161</f>
        <v>25427.071233582286</v>
      </c>
      <c r="E162" s="527">
        <f t="shared" ref="E162" si="126">D162*E161</f>
        <v>25681.34194591811</v>
      </c>
      <c r="F162" s="527">
        <f t="shared" ref="F162" si="127">E162*F161</f>
        <v>25938.15536537729</v>
      </c>
      <c r="G162" s="527">
        <f t="shared" ref="G162" si="128">F162*G161</f>
        <v>26197.536919031063</v>
      </c>
      <c r="H162" s="527">
        <f t="shared" ref="H162" si="129">G162*H161</f>
        <v>26459.512288221373</v>
      </c>
      <c r="I162" s="527">
        <f t="shared" ref="I162" si="130">H162*I161</f>
        <v>26724.107411103585</v>
      </c>
      <c r="J162" s="527">
        <f t="shared" ref="J162" si="131">I162*J161</f>
        <v>26991.348485214621</v>
      </c>
      <c r="K162" s="527">
        <f t="shared" ref="K162" si="132">J162*K161</f>
        <v>27261.261970066767</v>
      </c>
      <c r="L162" s="527">
        <f t="shared" ref="L162" si="133">K162*L161</f>
        <v>27533.874589767434</v>
      </c>
      <c r="M162" s="527">
        <f t="shared" ref="M162" si="134">L162*M161</f>
        <v>27809.21333566511</v>
      </c>
      <c r="N162" s="527">
        <f t="shared" ref="N162" si="135">M162*N161</f>
        <v>28087.305469021761</v>
      </c>
      <c r="O162" s="527">
        <f t="shared" ref="O162" si="136">N162*O161</f>
        <v>28368.17852371198</v>
      </c>
      <c r="P162" s="527">
        <f t="shared" ref="P162" si="137">O162*P161</f>
        <v>28651.860308949101</v>
      </c>
      <c r="Q162" s="527">
        <f t="shared" ref="Q162" si="138">P162*Q161</f>
        <v>28938.378912038592</v>
      </c>
      <c r="R162" s="527">
        <f t="shared" ref="R162" si="139">Q162*R161</f>
        <v>29227.762701158979</v>
      </c>
      <c r="S162" s="527">
        <f t="shared" ref="S162" si="140">R162*S161</f>
        <v>29520.040328170569</v>
      </c>
      <c r="T162" s="527">
        <f t="shared" ref="T162" si="141">S162*T161</f>
        <v>29815.240731452275</v>
      </c>
      <c r="U162" s="527">
        <f t="shared" ref="U162" si="142">T162*U161</f>
        <v>30113.393138766798</v>
      </c>
      <c r="V162" s="527">
        <f t="shared" ref="V162" si="143">U162*V161</f>
        <v>30414.527070154465</v>
      </c>
      <c r="W162" s="527">
        <f t="shared" ref="W162" si="144">V162*W161</f>
        <v>30718.67234085601</v>
      </c>
      <c r="X162" s="527">
        <f t="shared" ref="X162" si="145">W162*X161</f>
        <v>31025.859064264572</v>
      </c>
      <c r="Y162" s="527">
        <f t="shared" ref="Y162" si="146">X162*Y161</f>
        <v>31336.117654907219</v>
      </c>
      <c r="Z162" s="527">
        <f t="shared" ref="Z162" si="147">Y162*Z161</f>
        <v>31649.47883145629</v>
      </c>
      <c r="AA162" s="527">
        <f t="shared" ref="AA162" si="148">Z162*AA161</f>
        <v>31965.973619770852</v>
      </c>
      <c r="AB162" s="527">
        <f t="shared" ref="AB162" si="149">AA162*AB161</f>
        <v>32285.633355968559</v>
      </c>
      <c r="AC162" s="527">
        <f t="shared" ref="AC162" si="150">AB162*AC161</f>
        <v>32608.489689528244</v>
      </c>
      <c r="AD162" s="527">
        <f t="shared" ref="AD162" si="151">AC162*AD161</f>
        <v>32934.574586423529</v>
      </c>
      <c r="AE162" s="527">
        <f t="shared" ref="AE162" si="152">AD162*AE161</f>
        <v>33263.920332287766</v>
      </c>
      <c r="AF162" s="527">
        <f t="shared" ref="AF162" si="153">AE162*AF161</f>
        <v>33596.559535610642</v>
      </c>
      <c r="AG162" s="527">
        <f t="shared" ref="AG162" si="154">AF162*AG161</f>
        <v>33932.525130966751</v>
      </c>
      <c r="AH162" s="527">
        <f t="shared" ref="AH162" si="155">AG162*AH161</f>
        <v>34271.850382276418</v>
      </c>
      <c r="AI162" s="527">
        <f t="shared" ref="AI162" si="156">AH162*AI161</f>
        <v>34614.56888609918</v>
      </c>
      <c r="AJ162" s="527">
        <f t="shared" ref="AJ162" si="157">AI162*AJ161</f>
        <v>34960.71457496017</v>
      </c>
      <c r="AK162" s="527">
        <f t="shared" ref="AK162" si="158">AJ162*AK161</f>
        <v>35310.32172070977</v>
      </c>
      <c r="AL162" s="527">
        <f t="shared" ref="AL162" si="159">AK162*AL161</f>
        <v>35663.424937916869</v>
      </c>
      <c r="AM162" s="527">
        <f t="shared" ref="AM162" si="160">AL162*AM161</f>
        <v>36020.059187296036</v>
      </c>
    </row>
    <row r="163" spans="1:39" x14ac:dyDescent="0.2">
      <c r="A163" s="528" t="s">
        <v>34</v>
      </c>
      <c r="B163" s="498" t="s">
        <v>508</v>
      </c>
      <c r="C163" s="778"/>
      <c r="D163" s="778"/>
      <c r="E163" s="529"/>
      <c r="F163" s="529"/>
      <c r="G163" s="529"/>
      <c r="H163" s="529"/>
      <c r="I163" s="529"/>
      <c r="J163" s="529"/>
      <c r="K163" s="529"/>
      <c r="L163" s="529"/>
      <c r="M163" s="529"/>
      <c r="N163" s="529"/>
      <c r="O163" s="529"/>
      <c r="P163" s="529"/>
      <c r="Q163" s="529"/>
      <c r="R163" s="529"/>
      <c r="S163" s="529"/>
      <c r="T163" s="529"/>
      <c r="U163" s="529"/>
      <c r="V163" s="529"/>
      <c r="W163" s="529"/>
      <c r="X163" s="529"/>
      <c r="Y163" s="529"/>
      <c r="Z163" s="529"/>
      <c r="AA163" s="529"/>
      <c r="AB163" s="529"/>
      <c r="AC163" s="529"/>
      <c r="AD163" s="529"/>
      <c r="AE163" s="529"/>
      <c r="AF163" s="529"/>
      <c r="AG163" s="537"/>
      <c r="AH163" s="537"/>
      <c r="AI163" s="529"/>
      <c r="AJ163" s="537"/>
      <c r="AK163" s="537"/>
      <c r="AL163" s="529"/>
      <c r="AM163" s="537"/>
    </row>
    <row r="164" spans="1:39" x14ac:dyDescent="0.2">
      <c r="A164" s="546" t="s">
        <v>641</v>
      </c>
      <c r="B164" s="232"/>
      <c r="C164" s="787">
        <f>C160</f>
        <v>1.9572495493175381E-2</v>
      </c>
      <c r="D164" s="539"/>
      <c r="E164" s="539"/>
      <c r="F164" s="539"/>
      <c r="G164" s="539"/>
      <c r="H164" s="539"/>
      <c r="I164" s="539"/>
      <c r="J164" s="539"/>
      <c r="K164" s="539"/>
      <c r="L164" s="539"/>
      <c r="M164" s="539"/>
      <c r="N164" s="539"/>
      <c r="O164" s="539"/>
      <c r="P164" s="539"/>
      <c r="Q164" s="539"/>
      <c r="R164" s="539"/>
      <c r="S164" s="539"/>
      <c r="T164" s="539"/>
      <c r="U164" s="539"/>
      <c r="V164" s="539"/>
      <c r="W164" s="539"/>
      <c r="X164" s="539"/>
      <c r="Y164" s="539"/>
      <c r="Z164" s="539"/>
      <c r="AA164" s="539"/>
      <c r="AB164" s="539"/>
      <c r="AC164" s="539"/>
      <c r="AD164" s="539"/>
      <c r="AE164" s="539"/>
      <c r="AF164" s="539"/>
      <c r="AG164" s="539"/>
      <c r="AH164" s="539"/>
      <c r="AI164" s="539"/>
      <c r="AJ164" s="539"/>
      <c r="AK164" s="539"/>
      <c r="AL164" s="539"/>
      <c r="AM164" s="539"/>
    </row>
    <row r="165" spans="1:39" x14ac:dyDescent="0.2">
      <c r="A165" s="543" t="s">
        <v>582</v>
      </c>
      <c r="B165" s="547"/>
      <c r="C165" s="786">
        <f>C83</f>
        <v>1</v>
      </c>
      <c r="D165" s="786">
        <f t="shared" ref="D165:AH165" si="161">D83</f>
        <v>1.01</v>
      </c>
      <c r="E165" s="786">
        <f t="shared" si="161"/>
        <v>1.01</v>
      </c>
      <c r="F165" s="786">
        <f t="shared" si="161"/>
        <v>1.01</v>
      </c>
      <c r="G165" s="786">
        <f t="shared" si="161"/>
        <v>1.01</v>
      </c>
      <c r="H165" s="786">
        <f t="shared" si="161"/>
        <v>1</v>
      </c>
      <c r="I165" s="786">
        <f t="shared" si="161"/>
        <v>1</v>
      </c>
      <c r="J165" s="786">
        <f t="shared" si="161"/>
        <v>1</v>
      </c>
      <c r="K165" s="786">
        <f t="shared" si="161"/>
        <v>1</v>
      </c>
      <c r="L165" s="786">
        <f t="shared" si="161"/>
        <v>1</v>
      </c>
      <c r="M165" s="786">
        <f t="shared" si="161"/>
        <v>1</v>
      </c>
      <c r="N165" s="786">
        <f t="shared" si="161"/>
        <v>1</v>
      </c>
      <c r="O165" s="786">
        <f t="shared" si="161"/>
        <v>1</v>
      </c>
      <c r="P165" s="786">
        <f t="shared" si="161"/>
        <v>1</v>
      </c>
      <c r="Q165" s="786">
        <f t="shared" si="161"/>
        <v>1</v>
      </c>
      <c r="R165" s="786">
        <f t="shared" si="161"/>
        <v>1</v>
      </c>
      <c r="S165" s="786">
        <f t="shared" si="161"/>
        <v>1</v>
      </c>
      <c r="T165" s="786">
        <f t="shared" si="161"/>
        <v>1</v>
      </c>
      <c r="U165" s="786">
        <f t="shared" si="161"/>
        <v>1</v>
      </c>
      <c r="V165" s="786">
        <f t="shared" si="161"/>
        <v>1</v>
      </c>
      <c r="W165" s="786">
        <f t="shared" si="161"/>
        <v>1</v>
      </c>
      <c r="X165" s="786">
        <f t="shared" si="161"/>
        <v>1</v>
      </c>
      <c r="Y165" s="786">
        <f t="shared" si="161"/>
        <v>1</v>
      </c>
      <c r="Z165" s="786">
        <f t="shared" si="161"/>
        <v>1</v>
      </c>
      <c r="AA165" s="786">
        <f t="shared" si="161"/>
        <v>1</v>
      </c>
      <c r="AB165" s="786">
        <f t="shared" si="161"/>
        <v>1</v>
      </c>
      <c r="AC165" s="786">
        <f t="shared" si="161"/>
        <v>1</v>
      </c>
      <c r="AD165" s="786">
        <f t="shared" si="161"/>
        <v>1</v>
      </c>
      <c r="AE165" s="786">
        <f t="shared" si="161"/>
        <v>1</v>
      </c>
      <c r="AF165" s="786">
        <f t="shared" si="161"/>
        <v>1</v>
      </c>
      <c r="AG165" s="786">
        <f t="shared" si="161"/>
        <v>1</v>
      </c>
      <c r="AH165" s="786">
        <f t="shared" si="161"/>
        <v>1</v>
      </c>
      <c r="AI165" s="786">
        <f t="shared" ref="AI165:AM165" si="162">AI83</f>
        <v>1</v>
      </c>
      <c r="AJ165" s="786">
        <f t="shared" si="162"/>
        <v>1</v>
      </c>
      <c r="AK165" s="786">
        <f t="shared" si="162"/>
        <v>1</v>
      </c>
      <c r="AL165" s="786">
        <f t="shared" si="162"/>
        <v>1</v>
      </c>
      <c r="AM165" s="786">
        <f t="shared" si="162"/>
        <v>1</v>
      </c>
    </row>
    <row r="166" spans="1:39" x14ac:dyDescent="0.2">
      <c r="A166" s="549" t="s">
        <v>641</v>
      </c>
      <c r="B166" s="485">
        <f>SUM(E166:AM166)</f>
        <v>996816.15861868602</v>
      </c>
      <c r="C166" s="527">
        <f t="shared" ref="C166:H166" si="163">C5*$C$164*C165</f>
        <v>25175.318053051767</v>
      </c>
      <c r="D166" s="527">
        <f>C166*D165</f>
        <v>25427.071233582286</v>
      </c>
      <c r="E166" s="527">
        <f t="shared" ref="E166:G166" si="164">D166*E165</f>
        <v>25681.34194591811</v>
      </c>
      <c r="F166" s="527">
        <f t="shared" si="164"/>
        <v>25938.15536537729</v>
      </c>
      <c r="G166" s="527">
        <f t="shared" si="164"/>
        <v>26197.536919031063</v>
      </c>
      <c r="H166" s="527">
        <f t="shared" si="163"/>
        <v>28718.722637136238</v>
      </c>
      <c r="I166" s="527">
        <f t="shared" ref="I166:AM166" si="165">H166*I165</f>
        <v>28718.722637136238</v>
      </c>
      <c r="J166" s="527">
        <f t="shared" si="165"/>
        <v>28718.722637136238</v>
      </c>
      <c r="K166" s="527">
        <f t="shared" si="165"/>
        <v>28718.722637136238</v>
      </c>
      <c r="L166" s="527">
        <f t="shared" si="165"/>
        <v>28718.722637136238</v>
      </c>
      <c r="M166" s="527">
        <f t="shared" si="165"/>
        <v>28718.722637136238</v>
      </c>
      <c r="N166" s="527">
        <f t="shared" si="165"/>
        <v>28718.722637136238</v>
      </c>
      <c r="O166" s="527">
        <f t="shared" si="165"/>
        <v>28718.722637136238</v>
      </c>
      <c r="P166" s="527">
        <f t="shared" si="165"/>
        <v>28718.722637136238</v>
      </c>
      <c r="Q166" s="527">
        <f t="shared" si="165"/>
        <v>28718.722637136238</v>
      </c>
      <c r="R166" s="527">
        <f t="shared" si="165"/>
        <v>28718.722637136238</v>
      </c>
      <c r="S166" s="527">
        <f t="shared" si="165"/>
        <v>28718.722637136238</v>
      </c>
      <c r="T166" s="527">
        <f t="shared" si="165"/>
        <v>28718.722637136238</v>
      </c>
      <c r="U166" s="527">
        <f t="shared" si="165"/>
        <v>28718.722637136238</v>
      </c>
      <c r="V166" s="527">
        <f t="shared" si="165"/>
        <v>28718.722637136238</v>
      </c>
      <c r="W166" s="527">
        <f t="shared" si="165"/>
        <v>28718.722637136238</v>
      </c>
      <c r="X166" s="527">
        <f t="shared" si="165"/>
        <v>28718.722637136238</v>
      </c>
      <c r="Y166" s="527">
        <f t="shared" si="165"/>
        <v>28718.722637136238</v>
      </c>
      <c r="Z166" s="527">
        <f t="shared" si="165"/>
        <v>28718.722637136238</v>
      </c>
      <c r="AA166" s="527">
        <f t="shared" si="165"/>
        <v>28718.722637136238</v>
      </c>
      <c r="AB166" s="527">
        <f t="shared" si="165"/>
        <v>28718.722637136238</v>
      </c>
      <c r="AC166" s="527">
        <f t="shared" si="165"/>
        <v>28718.722637136238</v>
      </c>
      <c r="AD166" s="527">
        <f t="shared" si="165"/>
        <v>28718.722637136238</v>
      </c>
      <c r="AE166" s="527">
        <f t="shared" si="165"/>
        <v>28718.722637136238</v>
      </c>
      <c r="AF166" s="527">
        <f t="shared" si="165"/>
        <v>28718.722637136238</v>
      </c>
      <c r="AG166" s="527">
        <f t="shared" si="165"/>
        <v>28718.722637136238</v>
      </c>
      <c r="AH166" s="527">
        <f t="shared" si="165"/>
        <v>28718.722637136238</v>
      </c>
      <c r="AI166" s="527">
        <f t="shared" si="165"/>
        <v>28718.722637136238</v>
      </c>
      <c r="AJ166" s="527">
        <f t="shared" si="165"/>
        <v>28718.722637136238</v>
      </c>
      <c r="AK166" s="527">
        <f t="shared" si="165"/>
        <v>28718.722637136238</v>
      </c>
      <c r="AL166" s="527">
        <f t="shared" si="165"/>
        <v>28718.722637136238</v>
      </c>
      <c r="AM166" s="527">
        <f t="shared" si="165"/>
        <v>28718.722637136238</v>
      </c>
    </row>
    <row r="167" spans="1:39" x14ac:dyDescent="0.2">
      <c r="C167" s="780"/>
      <c r="D167" s="780"/>
    </row>
    <row r="168" spans="1:39" x14ac:dyDescent="0.2">
      <c r="A168" s="531" t="s">
        <v>642</v>
      </c>
      <c r="B168" s="485">
        <f>SUM(F168:AM168)</f>
        <v>-73075.624706402683</v>
      </c>
      <c r="C168" s="485">
        <f>C166-C162</f>
        <v>0</v>
      </c>
      <c r="D168" s="485">
        <f>D166-D162</f>
        <v>0</v>
      </c>
      <c r="E168" s="485">
        <f t="shared" ref="E168:AG168" si="166">E166-E162</f>
        <v>0</v>
      </c>
      <c r="F168" s="485">
        <f>F166-F162</f>
        <v>0</v>
      </c>
      <c r="G168" s="485">
        <f>G166-G162</f>
        <v>0</v>
      </c>
      <c r="H168" s="485">
        <f>H166-H162</f>
        <v>2259.2103489148649</v>
      </c>
      <c r="I168" s="485">
        <f>I166-I162</f>
        <v>1994.6152260326526</v>
      </c>
      <c r="J168" s="485">
        <f t="shared" si="166"/>
        <v>1727.3741519216164</v>
      </c>
      <c r="K168" s="485">
        <f t="shared" si="166"/>
        <v>1457.4606670694702</v>
      </c>
      <c r="L168" s="485">
        <f t="shared" si="166"/>
        <v>1184.8480473688032</v>
      </c>
      <c r="M168" s="485">
        <f t="shared" si="166"/>
        <v>909.5093014711274</v>
      </c>
      <c r="N168" s="485">
        <f t="shared" si="166"/>
        <v>631.41716811447623</v>
      </c>
      <c r="O168" s="485">
        <f t="shared" si="166"/>
        <v>350.54411342425738</v>
      </c>
      <c r="P168" s="485">
        <f t="shared" si="166"/>
        <v>66.862328187136882</v>
      </c>
      <c r="Q168" s="485">
        <f t="shared" si="166"/>
        <v>-219.6562749023542</v>
      </c>
      <c r="R168" s="485">
        <f t="shared" si="166"/>
        <v>-509.04006402274172</v>
      </c>
      <c r="S168" s="485">
        <f t="shared" si="166"/>
        <v>-801.3176910343318</v>
      </c>
      <c r="T168" s="485">
        <f t="shared" si="166"/>
        <v>-1096.5180943160376</v>
      </c>
      <c r="U168" s="485">
        <f t="shared" si="166"/>
        <v>-1394.6705016305605</v>
      </c>
      <c r="V168" s="485">
        <f t="shared" si="166"/>
        <v>-1695.8044330182274</v>
      </c>
      <c r="W168" s="485">
        <f t="shared" si="166"/>
        <v>-1999.9497037197725</v>
      </c>
      <c r="X168" s="485">
        <f t="shared" si="166"/>
        <v>-2307.1364271283346</v>
      </c>
      <c r="Y168" s="485">
        <f t="shared" si="166"/>
        <v>-2617.3950177709812</v>
      </c>
      <c r="Z168" s="485">
        <f t="shared" si="166"/>
        <v>-2930.7561943200526</v>
      </c>
      <c r="AA168" s="485">
        <f t="shared" si="166"/>
        <v>-3247.250982634614</v>
      </c>
      <c r="AB168" s="485">
        <f t="shared" si="166"/>
        <v>-3566.9107188323214</v>
      </c>
      <c r="AC168" s="485">
        <f t="shared" si="166"/>
        <v>-3889.767052392006</v>
      </c>
      <c r="AD168" s="485">
        <f t="shared" si="166"/>
        <v>-4215.8519492872911</v>
      </c>
      <c r="AE168" s="485">
        <f t="shared" si="166"/>
        <v>-4545.197695151528</v>
      </c>
      <c r="AF168" s="485">
        <f t="shared" si="166"/>
        <v>-4877.8368984744047</v>
      </c>
      <c r="AG168" s="485">
        <f t="shared" si="166"/>
        <v>-5213.8024938305134</v>
      </c>
      <c r="AH168" s="485">
        <f>AH166-AH162</f>
        <v>-5553.1277451401802</v>
      </c>
      <c r="AI168" s="485">
        <f t="shared" ref="AI168:AM168" si="167">AI166-AI162</f>
        <v>-5895.8462489629419</v>
      </c>
      <c r="AJ168" s="485">
        <f t="shared" si="167"/>
        <v>-6241.9919378239319</v>
      </c>
      <c r="AK168" s="485">
        <f t="shared" si="167"/>
        <v>-6591.599083573532</v>
      </c>
      <c r="AL168" s="485">
        <f t="shared" si="167"/>
        <v>-6944.702300780631</v>
      </c>
      <c r="AM168" s="485">
        <f t="shared" si="167"/>
        <v>-7301.3365501597982</v>
      </c>
    </row>
    <row r="170" spans="1:39" x14ac:dyDescent="0.2">
      <c r="A170" s="235" t="s">
        <v>639</v>
      </c>
      <c r="F170" s="545"/>
    </row>
    <row r="171" spans="1:39" x14ac:dyDescent="0.2">
      <c r="A171" s="479" t="s">
        <v>33</v>
      </c>
      <c r="B171" s="498" t="s">
        <v>508</v>
      </c>
      <c r="C171" s="481">
        <v>2023</v>
      </c>
      <c r="D171" s="481">
        <v>2024</v>
      </c>
      <c r="E171" s="481">
        <v>2025</v>
      </c>
      <c r="F171" s="481">
        <v>2026</v>
      </c>
      <c r="G171" s="481">
        <v>2027</v>
      </c>
      <c r="H171" s="481">
        <v>2028</v>
      </c>
      <c r="I171" s="481">
        <v>2029</v>
      </c>
      <c r="J171" s="481">
        <v>2030</v>
      </c>
      <c r="K171" s="481">
        <v>2031</v>
      </c>
      <c r="L171" s="481">
        <v>2032</v>
      </c>
      <c r="M171" s="481">
        <v>2033</v>
      </c>
      <c r="N171" s="481">
        <v>2034</v>
      </c>
      <c r="O171" s="481">
        <v>2035</v>
      </c>
      <c r="P171" s="481">
        <v>2036</v>
      </c>
      <c r="Q171" s="481">
        <v>2037</v>
      </c>
      <c r="R171" s="481">
        <v>2038</v>
      </c>
      <c r="S171" s="481">
        <v>2039</v>
      </c>
      <c r="T171" s="481">
        <v>2040</v>
      </c>
      <c r="U171" s="481">
        <v>2041</v>
      </c>
      <c r="V171" s="481">
        <v>2042</v>
      </c>
      <c r="W171" s="481">
        <v>2043</v>
      </c>
      <c r="X171" s="481">
        <v>2044</v>
      </c>
      <c r="Y171" s="481">
        <v>2045</v>
      </c>
      <c r="Z171" s="481">
        <v>2046</v>
      </c>
      <c r="AA171" s="481">
        <v>2047</v>
      </c>
      <c r="AB171" s="481">
        <v>2048</v>
      </c>
      <c r="AC171" s="481">
        <v>2049</v>
      </c>
      <c r="AD171" s="481">
        <v>2050</v>
      </c>
      <c r="AE171" s="481">
        <v>2051</v>
      </c>
      <c r="AF171" s="481">
        <v>2052</v>
      </c>
      <c r="AG171" s="481">
        <v>2053</v>
      </c>
      <c r="AH171" s="481">
        <v>2054</v>
      </c>
      <c r="AI171" s="481">
        <v>2055</v>
      </c>
      <c r="AJ171" s="481">
        <v>2056</v>
      </c>
      <c r="AK171" s="481">
        <v>2057</v>
      </c>
      <c r="AL171" s="481">
        <v>2058</v>
      </c>
      <c r="AM171" s="481">
        <v>2059</v>
      </c>
    </row>
    <row r="172" spans="1:39" x14ac:dyDescent="0.2">
      <c r="A172" s="546" t="s">
        <v>630</v>
      </c>
      <c r="B172" s="547"/>
      <c r="C172" s="785">
        <f>D35</f>
        <v>1.4582281740921967</v>
      </c>
      <c r="D172" s="548"/>
      <c r="E172" s="548"/>
      <c r="F172" s="548"/>
      <c r="G172" s="548"/>
      <c r="H172" s="548"/>
      <c r="I172" s="548"/>
      <c r="J172" s="548"/>
      <c r="K172" s="548"/>
      <c r="L172" s="548"/>
      <c r="M172" s="548"/>
      <c r="N172" s="548"/>
      <c r="O172" s="548"/>
      <c r="P172" s="548"/>
      <c r="Q172" s="548"/>
      <c r="R172" s="548"/>
      <c r="S172" s="548"/>
      <c r="T172" s="548"/>
      <c r="U172" s="548"/>
      <c r="V172" s="548"/>
      <c r="W172" s="548"/>
      <c r="X172" s="548"/>
      <c r="Y172" s="548"/>
      <c r="Z172" s="548"/>
      <c r="AA172" s="548"/>
      <c r="AB172" s="548"/>
      <c r="AC172" s="548"/>
      <c r="AD172" s="548"/>
      <c r="AE172" s="548"/>
      <c r="AF172" s="548"/>
      <c r="AG172" s="548"/>
      <c r="AH172" s="548"/>
      <c r="AI172" s="548"/>
      <c r="AJ172" s="548"/>
      <c r="AK172" s="548"/>
      <c r="AL172" s="548"/>
      <c r="AM172" s="548"/>
    </row>
    <row r="173" spans="1:39" x14ac:dyDescent="0.2">
      <c r="A173" s="543" t="s">
        <v>582</v>
      </c>
      <c r="B173" s="547"/>
      <c r="C173" s="786">
        <f>C85</f>
        <v>1</v>
      </c>
      <c r="D173" s="786">
        <f t="shared" ref="D173:AH173" si="168">D85</f>
        <v>1</v>
      </c>
      <c r="E173" s="786">
        <f t="shared" si="168"/>
        <v>1</v>
      </c>
      <c r="F173" s="786">
        <f t="shared" si="168"/>
        <v>1</v>
      </c>
      <c r="G173" s="786">
        <f t="shared" si="168"/>
        <v>1</v>
      </c>
      <c r="H173" s="786">
        <f t="shared" si="168"/>
        <v>1</v>
      </c>
      <c r="I173" s="786">
        <f t="shared" si="168"/>
        <v>1</v>
      </c>
      <c r="J173" s="786">
        <f t="shared" si="168"/>
        <v>1</v>
      </c>
      <c r="K173" s="786">
        <f t="shared" si="168"/>
        <v>1</v>
      </c>
      <c r="L173" s="786">
        <f t="shared" si="168"/>
        <v>1</v>
      </c>
      <c r="M173" s="786">
        <f t="shared" si="168"/>
        <v>1</v>
      </c>
      <c r="N173" s="786">
        <f t="shared" si="168"/>
        <v>1</v>
      </c>
      <c r="O173" s="786">
        <f t="shared" si="168"/>
        <v>1</v>
      </c>
      <c r="P173" s="786">
        <f t="shared" si="168"/>
        <v>1</v>
      </c>
      <c r="Q173" s="786">
        <f t="shared" si="168"/>
        <v>1</v>
      </c>
      <c r="R173" s="786">
        <f t="shared" si="168"/>
        <v>1</v>
      </c>
      <c r="S173" s="786">
        <f t="shared" si="168"/>
        <v>1</v>
      </c>
      <c r="T173" s="786">
        <f t="shared" si="168"/>
        <v>1</v>
      </c>
      <c r="U173" s="786">
        <f t="shared" si="168"/>
        <v>1</v>
      </c>
      <c r="V173" s="786">
        <f t="shared" si="168"/>
        <v>1</v>
      </c>
      <c r="W173" s="786">
        <f t="shared" si="168"/>
        <v>1</v>
      </c>
      <c r="X173" s="786">
        <f t="shared" si="168"/>
        <v>1</v>
      </c>
      <c r="Y173" s="786">
        <f t="shared" si="168"/>
        <v>1</v>
      </c>
      <c r="Z173" s="786">
        <f t="shared" si="168"/>
        <v>1</v>
      </c>
      <c r="AA173" s="786">
        <f t="shared" si="168"/>
        <v>1</v>
      </c>
      <c r="AB173" s="786">
        <f t="shared" si="168"/>
        <v>1</v>
      </c>
      <c r="AC173" s="786">
        <f t="shared" si="168"/>
        <v>1</v>
      </c>
      <c r="AD173" s="786">
        <f t="shared" si="168"/>
        <v>1</v>
      </c>
      <c r="AE173" s="786">
        <f t="shared" si="168"/>
        <v>1</v>
      </c>
      <c r="AF173" s="786">
        <f t="shared" si="168"/>
        <v>1</v>
      </c>
      <c r="AG173" s="786">
        <f t="shared" si="168"/>
        <v>1</v>
      </c>
      <c r="AH173" s="786">
        <f t="shared" si="168"/>
        <v>1</v>
      </c>
      <c r="AI173" s="786">
        <f t="shared" ref="AI173:AM173" si="169">AI85</f>
        <v>1</v>
      </c>
      <c r="AJ173" s="786">
        <f t="shared" si="169"/>
        <v>1</v>
      </c>
      <c r="AK173" s="786">
        <f t="shared" si="169"/>
        <v>1</v>
      </c>
      <c r="AL173" s="786">
        <f t="shared" si="169"/>
        <v>1</v>
      </c>
      <c r="AM173" s="786">
        <f t="shared" si="169"/>
        <v>1</v>
      </c>
    </row>
    <row r="174" spans="1:39" x14ac:dyDescent="0.2">
      <c r="A174" s="540" t="s">
        <v>630</v>
      </c>
      <c r="B174" s="485">
        <f>SUM(E174:AM174)</f>
        <v>65648119.992274016</v>
      </c>
      <c r="C174" s="527">
        <f>C4*$C$172*C173</f>
        <v>1875660.5712078291</v>
      </c>
      <c r="D174" s="527">
        <f t="shared" ref="D174:AH174" si="170">D4*$C$172*D173</f>
        <v>1875660.5712078291</v>
      </c>
      <c r="E174" s="527">
        <f t="shared" si="170"/>
        <v>1875660.5712078291</v>
      </c>
      <c r="F174" s="527">
        <f t="shared" si="170"/>
        <v>1875660.5712078291</v>
      </c>
      <c r="G174" s="527">
        <f t="shared" si="170"/>
        <v>1875660.5712078291</v>
      </c>
      <c r="H174" s="527">
        <f t="shared" si="170"/>
        <v>1875660.5712078291</v>
      </c>
      <c r="I174" s="527">
        <f t="shared" si="170"/>
        <v>1875660.5712078291</v>
      </c>
      <c r="J174" s="527">
        <f t="shared" si="170"/>
        <v>1875660.5712078291</v>
      </c>
      <c r="K174" s="527">
        <f t="shared" si="170"/>
        <v>1875660.5712078291</v>
      </c>
      <c r="L174" s="527">
        <f t="shared" si="170"/>
        <v>1875660.5712078291</v>
      </c>
      <c r="M174" s="527">
        <f t="shared" si="170"/>
        <v>1875660.5712078291</v>
      </c>
      <c r="N174" s="527">
        <f t="shared" si="170"/>
        <v>1875660.5712078291</v>
      </c>
      <c r="O174" s="527">
        <f t="shared" si="170"/>
        <v>1875660.5712078291</v>
      </c>
      <c r="P174" s="527">
        <f t="shared" si="170"/>
        <v>1875660.5712078291</v>
      </c>
      <c r="Q174" s="527">
        <f t="shared" si="170"/>
        <v>1875660.5712078291</v>
      </c>
      <c r="R174" s="527">
        <f t="shared" si="170"/>
        <v>1875660.5712078291</v>
      </c>
      <c r="S174" s="527">
        <f t="shared" si="170"/>
        <v>1875660.5712078291</v>
      </c>
      <c r="T174" s="527">
        <f t="shared" si="170"/>
        <v>1875660.5712078291</v>
      </c>
      <c r="U174" s="527">
        <f t="shared" si="170"/>
        <v>1875660.5712078291</v>
      </c>
      <c r="V174" s="527">
        <f t="shared" si="170"/>
        <v>1875660.5712078291</v>
      </c>
      <c r="W174" s="527">
        <f t="shared" si="170"/>
        <v>1875660.5712078291</v>
      </c>
      <c r="X174" s="527">
        <f t="shared" si="170"/>
        <v>1875660.5712078291</v>
      </c>
      <c r="Y174" s="527">
        <f t="shared" si="170"/>
        <v>1875660.5712078291</v>
      </c>
      <c r="Z174" s="527">
        <f t="shared" si="170"/>
        <v>1875660.5712078291</v>
      </c>
      <c r="AA174" s="527">
        <f t="shared" si="170"/>
        <v>1875660.5712078291</v>
      </c>
      <c r="AB174" s="527">
        <f t="shared" si="170"/>
        <v>1875660.5712078291</v>
      </c>
      <c r="AC174" s="527">
        <f t="shared" si="170"/>
        <v>1875660.5712078291</v>
      </c>
      <c r="AD174" s="527">
        <f t="shared" si="170"/>
        <v>1875660.5712078291</v>
      </c>
      <c r="AE174" s="527">
        <f t="shared" si="170"/>
        <v>1875660.5712078291</v>
      </c>
      <c r="AF174" s="527">
        <f t="shared" si="170"/>
        <v>1875660.5712078291</v>
      </c>
      <c r="AG174" s="527">
        <f t="shared" si="170"/>
        <v>1875660.5712078291</v>
      </c>
      <c r="AH174" s="527">
        <f t="shared" si="170"/>
        <v>1875660.5712078291</v>
      </c>
      <c r="AI174" s="527">
        <f t="shared" ref="AI174" si="171">AI4*$C$172*AI173</f>
        <v>1875660.5712078291</v>
      </c>
      <c r="AJ174" s="527">
        <f t="shared" ref="AJ174" si="172">AJ4*$C$172*AJ173</f>
        <v>1875660.5712078291</v>
      </c>
      <c r="AK174" s="527">
        <f t="shared" ref="AK174" si="173">AK4*$C$172*AK173</f>
        <v>1875660.5712078291</v>
      </c>
      <c r="AL174" s="527">
        <f t="shared" ref="AL174" si="174">AL4*$C$172*AL173</f>
        <v>1875660.5712078291</v>
      </c>
      <c r="AM174" s="527">
        <f t="shared" ref="AM174" si="175">AM4*$C$172*AM173</f>
        <v>1875660.5712078291</v>
      </c>
    </row>
    <row r="175" spans="1:39" x14ac:dyDescent="0.2">
      <c r="A175" s="528" t="s">
        <v>34</v>
      </c>
      <c r="B175" s="498" t="s">
        <v>508</v>
      </c>
      <c r="C175" s="778"/>
      <c r="D175" s="778"/>
      <c r="E175" s="529"/>
      <c r="F175" s="529"/>
      <c r="G175" s="529"/>
      <c r="H175" s="529"/>
      <c r="I175" s="529"/>
      <c r="J175" s="529"/>
      <c r="K175" s="529"/>
      <c r="L175" s="529"/>
      <c r="M175" s="529"/>
      <c r="N175" s="529"/>
      <c r="O175" s="529"/>
      <c r="P175" s="529"/>
      <c r="Q175" s="529"/>
      <c r="R175" s="529"/>
      <c r="S175" s="529"/>
      <c r="T175" s="529"/>
      <c r="U175" s="529"/>
      <c r="V175" s="529"/>
      <c r="W175" s="529"/>
      <c r="X175" s="529"/>
      <c r="Y175" s="529"/>
      <c r="Z175" s="529"/>
      <c r="AA175" s="529"/>
      <c r="AB175" s="529"/>
      <c r="AC175" s="529"/>
      <c r="AD175" s="529"/>
      <c r="AE175" s="529"/>
      <c r="AF175" s="529"/>
      <c r="AG175" s="537"/>
      <c r="AH175" s="537"/>
      <c r="AI175" s="529"/>
      <c r="AJ175" s="537"/>
      <c r="AK175" s="537"/>
      <c r="AL175" s="529"/>
      <c r="AM175" s="537"/>
    </row>
    <row r="176" spans="1:39" x14ac:dyDescent="0.2">
      <c r="A176" s="546" t="s">
        <v>587</v>
      </c>
      <c r="B176" s="232"/>
      <c r="C176" s="787">
        <f>C172</f>
        <v>1.4582281740921967</v>
      </c>
      <c r="D176" s="539"/>
      <c r="E176" s="539"/>
      <c r="F176" s="539"/>
      <c r="G176" s="539"/>
      <c r="H176" s="539"/>
      <c r="I176" s="539"/>
      <c r="J176" s="539"/>
      <c r="K176" s="539"/>
      <c r="L176" s="539"/>
      <c r="M176" s="539"/>
      <c r="N176" s="539"/>
      <c r="O176" s="539"/>
      <c r="P176" s="539"/>
      <c r="Q176" s="539"/>
      <c r="R176" s="539"/>
      <c r="S176" s="539"/>
      <c r="T176" s="539"/>
      <c r="U176" s="539"/>
      <c r="V176" s="539"/>
      <c r="W176" s="539"/>
      <c r="X176" s="539"/>
      <c r="Y176" s="539"/>
      <c r="Z176" s="539"/>
      <c r="AA176" s="539"/>
      <c r="AB176" s="539"/>
      <c r="AC176" s="539"/>
      <c r="AD176" s="539"/>
      <c r="AE176" s="539"/>
      <c r="AF176" s="539"/>
      <c r="AG176" s="539"/>
      <c r="AH176" s="539"/>
      <c r="AI176" s="539"/>
      <c r="AJ176" s="539"/>
      <c r="AK176" s="539"/>
      <c r="AL176" s="539"/>
      <c r="AM176" s="539"/>
    </row>
    <row r="177" spans="1:39" x14ac:dyDescent="0.2">
      <c r="A177" s="543" t="s">
        <v>582</v>
      </c>
      <c r="B177" s="547"/>
      <c r="C177" s="786">
        <f>C86</f>
        <v>1</v>
      </c>
      <c r="D177" s="786">
        <f t="shared" ref="D177:AH177" si="176">D86</f>
        <v>1</v>
      </c>
      <c r="E177" s="786">
        <f t="shared" si="176"/>
        <v>1</v>
      </c>
      <c r="F177" s="786">
        <f t="shared" si="176"/>
        <v>1</v>
      </c>
      <c r="G177" s="786">
        <f t="shared" si="176"/>
        <v>1</v>
      </c>
      <c r="H177" s="786">
        <f t="shared" si="176"/>
        <v>1</v>
      </c>
      <c r="I177" s="786">
        <f t="shared" si="176"/>
        <v>1</v>
      </c>
      <c r="J177" s="786">
        <f t="shared" si="176"/>
        <v>1</v>
      </c>
      <c r="K177" s="786">
        <f t="shared" si="176"/>
        <v>1</v>
      </c>
      <c r="L177" s="786">
        <f t="shared" si="176"/>
        <v>1</v>
      </c>
      <c r="M177" s="786">
        <f t="shared" si="176"/>
        <v>1</v>
      </c>
      <c r="N177" s="786">
        <f t="shared" si="176"/>
        <v>1</v>
      </c>
      <c r="O177" s="786">
        <f t="shared" si="176"/>
        <v>1</v>
      </c>
      <c r="P177" s="786">
        <f t="shared" si="176"/>
        <v>1</v>
      </c>
      <c r="Q177" s="786">
        <f t="shared" si="176"/>
        <v>1</v>
      </c>
      <c r="R177" s="786">
        <f t="shared" si="176"/>
        <v>1</v>
      </c>
      <c r="S177" s="786">
        <f t="shared" si="176"/>
        <v>1</v>
      </c>
      <c r="T177" s="786">
        <f t="shared" si="176"/>
        <v>1</v>
      </c>
      <c r="U177" s="786">
        <f t="shared" si="176"/>
        <v>1</v>
      </c>
      <c r="V177" s="786">
        <f t="shared" si="176"/>
        <v>1</v>
      </c>
      <c r="W177" s="786">
        <f t="shared" si="176"/>
        <v>1</v>
      </c>
      <c r="X177" s="786">
        <f t="shared" si="176"/>
        <v>1</v>
      </c>
      <c r="Y177" s="786">
        <f t="shared" si="176"/>
        <v>1</v>
      </c>
      <c r="Z177" s="786">
        <f t="shared" si="176"/>
        <v>1</v>
      </c>
      <c r="AA177" s="786">
        <f t="shared" si="176"/>
        <v>1</v>
      </c>
      <c r="AB177" s="786">
        <f t="shared" si="176"/>
        <v>1</v>
      </c>
      <c r="AC177" s="786">
        <f t="shared" si="176"/>
        <v>1</v>
      </c>
      <c r="AD177" s="786">
        <f t="shared" si="176"/>
        <v>1</v>
      </c>
      <c r="AE177" s="786">
        <f t="shared" si="176"/>
        <v>1</v>
      </c>
      <c r="AF177" s="786">
        <f t="shared" si="176"/>
        <v>1</v>
      </c>
      <c r="AG177" s="786">
        <f t="shared" si="176"/>
        <v>1</v>
      </c>
      <c r="AH177" s="786">
        <f t="shared" si="176"/>
        <v>1</v>
      </c>
      <c r="AI177" s="786">
        <f t="shared" ref="AI177:AM177" si="177">AI86</f>
        <v>1</v>
      </c>
      <c r="AJ177" s="786">
        <f t="shared" si="177"/>
        <v>1</v>
      </c>
      <c r="AK177" s="786">
        <f t="shared" si="177"/>
        <v>1</v>
      </c>
      <c r="AL177" s="786">
        <f t="shared" si="177"/>
        <v>1</v>
      </c>
      <c r="AM177" s="786">
        <f t="shared" si="177"/>
        <v>1</v>
      </c>
    </row>
    <row r="178" spans="1:39" x14ac:dyDescent="0.2">
      <c r="A178" s="549" t="s">
        <v>631</v>
      </c>
      <c r="B178" s="485">
        <f>SUM(E178:AM178)</f>
        <v>74096044.108678833</v>
      </c>
      <c r="C178" s="527">
        <f>C5*$C$176*C177</f>
        <v>1875660.5712078291</v>
      </c>
      <c r="D178" s="527">
        <f>C178*D177</f>
        <v>1875660.5712078291</v>
      </c>
      <c r="E178" s="527">
        <f t="shared" ref="E178:G178" si="178">D178*E177</f>
        <v>1875660.5712078291</v>
      </c>
      <c r="F178" s="527">
        <f t="shared" si="178"/>
        <v>1875660.5712078291</v>
      </c>
      <c r="G178" s="527">
        <f t="shared" si="178"/>
        <v>1875660.5712078291</v>
      </c>
      <c r="H178" s="527">
        <f t="shared" ref="H178" si="179">H5*$C$176*H177</f>
        <v>2139658.1998454803</v>
      </c>
      <c r="I178" s="527">
        <f t="shared" ref="I178:AM178" si="180">H178*I177</f>
        <v>2139658.1998454803</v>
      </c>
      <c r="J178" s="527">
        <f t="shared" si="180"/>
        <v>2139658.1998454803</v>
      </c>
      <c r="K178" s="527">
        <f t="shared" si="180"/>
        <v>2139658.1998454803</v>
      </c>
      <c r="L178" s="527">
        <f t="shared" si="180"/>
        <v>2139658.1998454803</v>
      </c>
      <c r="M178" s="527">
        <f t="shared" si="180"/>
        <v>2139658.1998454803</v>
      </c>
      <c r="N178" s="527">
        <f t="shared" si="180"/>
        <v>2139658.1998454803</v>
      </c>
      <c r="O178" s="527">
        <f t="shared" si="180"/>
        <v>2139658.1998454803</v>
      </c>
      <c r="P178" s="527">
        <f t="shared" si="180"/>
        <v>2139658.1998454803</v>
      </c>
      <c r="Q178" s="527">
        <f t="shared" si="180"/>
        <v>2139658.1998454803</v>
      </c>
      <c r="R178" s="527">
        <f t="shared" si="180"/>
        <v>2139658.1998454803</v>
      </c>
      <c r="S178" s="527">
        <f t="shared" si="180"/>
        <v>2139658.1998454803</v>
      </c>
      <c r="T178" s="527">
        <f t="shared" si="180"/>
        <v>2139658.1998454803</v>
      </c>
      <c r="U178" s="527">
        <f t="shared" si="180"/>
        <v>2139658.1998454803</v>
      </c>
      <c r="V178" s="527">
        <f t="shared" si="180"/>
        <v>2139658.1998454803</v>
      </c>
      <c r="W178" s="527">
        <f t="shared" si="180"/>
        <v>2139658.1998454803</v>
      </c>
      <c r="X178" s="527">
        <f t="shared" si="180"/>
        <v>2139658.1998454803</v>
      </c>
      <c r="Y178" s="527">
        <f t="shared" si="180"/>
        <v>2139658.1998454803</v>
      </c>
      <c r="Z178" s="527">
        <f t="shared" si="180"/>
        <v>2139658.1998454803</v>
      </c>
      <c r="AA178" s="527">
        <f t="shared" si="180"/>
        <v>2139658.1998454803</v>
      </c>
      <c r="AB178" s="527">
        <f t="shared" si="180"/>
        <v>2139658.1998454803</v>
      </c>
      <c r="AC178" s="527">
        <f t="shared" si="180"/>
        <v>2139658.1998454803</v>
      </c>
      <c r="AD178" s="527">
        <f t="shared" si="180"/>
        <v>2139658.1998454803</v>
      </c>
      <c r="AE178" s="527">
        <f t="shared" si="180"/>
        <v>2139658.1998454803</v>
      </c>
      <c r="AF178" s="527">
        <f t="shared" si="180"/>
        <v>2139658.1998454803</v>
      </c>
      <c r="AG178" s="527">
        <f t="shared" si="180"/>
        <v>2139658.1998454803</v>
      </c>
      <c r="AH178" s="527">
        <f t="shared" si="180"/>
        <v>2139658.1998454803</v>
      </c>
      <c r="AI178" s="527">
        <f t="shared" si="180"/>
        <v>2139658.1998454803</v>
      </c>
      <c r="AJ178" s="527">
        <f t="shared" si="180"/>
        <v>2139658.1998454803</v>
      </c>
      <c r="AK178" s="527">
        <f t="shared" si="180"/>
        <v>2139658.1998454803</v>
      </c>
      <c r="AL178" s="527">
        <f t="shared" si="180"/>
        <v>2139658.1998454803</v>
      </c>
      <c r="AM178" s="527">
        <f t="shared" si="180"/>
        <v>2139658.1998454803</v>
      </c>
    </row>
    <row r="179" spans="1:39" x14ac:dyDescent="0.2">
      <c r="C179" s="780"/>
      <c r="D179" s="780"/>
    </row>
    <row r="180" spans="1:39" x14ac:dyDescent="0.2">
      <c r="A180" s="531" t="s">
        <v>632</v>
      </c>
      <c r="B180" s="485">
        <f>SUM(F180:AM180)</f>
        <v>8447924.1164048333</v>
      </c>
      <c r="C180" s="485">
        <f>C178-C174</f>
        <v>0</v>
      </c>
      <c r="D180" s="485">
        <f>D178-D174</f>
        <v>0</v>
      </c>
      <c r="E180" s="485">
        <f t="shared" ref="E180" si="181">E178-E174</f>
        <v>0</v>
      </c>
      <c r="F180" s="485">
        <f>F178-F174</f>
        <v>0</v>
      </c>
      <c r="G180" s="485">
        <f>G178-G174</f>
        <v>0</v>
      </c>
      <c r="H180" s="485">
        <f>H178-H174</f>
        <v>263997.62863765121</v>
      </c>
      <c r="I180" s="485">
        <f>I178-I174</f>
        <v>263997.62863765121</v>
      </c>
      <c r="J180" s="485">
        <f t="shared" ref="J180:AG180" si="182">J178-J174</f>
        <v>263997.62863765121</v>
      </c>
      <c r="K180" s="485">
        <f t="shared" si="182"/>
        <v>263997.62863765121</v>
      </c>
      <c r="L180" s="485">
        <f t="shared" si="182"/>
        <v>263997.62863765121</v>
      </c>
      <c r="M180" s="485">
        <f t="shared" si="182"/>
        <v>263997.62863765121</v>
      </c>
      <c r="N180" s="485">
        <f t="shared" si="182"/>
        <v>263997.62863765121</v>
      </c>
      <c r="O180" s="485">
        <f t="shared" si="182"/>
        <v>263997.62863765121</v>
      </c>
      <c r="P180" s="485">
        <f t="shared" si="182"/>
        <v>263997.62863765121</v>
      </c>
      <c r="Q180" s="485">
        <f t="shared" si="182"/>
        <v>263997.62863765121</v>
      </c>
      <c r="R180" s="485">
        <f t="shared" si="182"/>
        <v>263997.62863765121</v>
      </c>
      <c r="S180" s="485">
        <f t="shared" si="182"/>
        <v>263997.62863765121</v>
      </c>
      <c r="T180" s="485">
        <f t="shared" si="182"/>
        <v>263997.62863765121</v>
      </c>
      <c r="U180" s="485">
        <f t="shared" si="182"/>
        <v>263997.62863765121</v>
      </c>
      <c r="V180" s="485">
        <f t="shared" si="182"/>
        <v>263997.62863765121</v>
      </c>
      <c r="W180" s="485">
        <f t="shared" si="182"/>
        <v>263997.62863765121</v>
      </c>
      <c r="X180" s="485">
        <f t="shared" si="182"/>
        <v>263997.62863765121</v>
      </c>
      <c r="Y180" s="485">
        <f t="shared" si="182"/>
        <v>263997.62863765121</v>
      </c>
      <c r="Z180" s="485">
        <f t="shared" si="182"/>
        <v>263997.62863765121</v>
      </c>
      <c r="AA180" s="485">
        <f t="shared" si="182"/>
        <v>263997.62863765121</v>
      </c>
      <c r="AB180" s="485">
        <f t="shared" si="182"/>
        <v>263997.62863765121</v>
      </c>
      <c r="AC180" s="485">
        <f t="shared" si="182"/>
        <v>263997.62863765121</v>
      </c>
      <c r="AD180" s="485">
        <f t="shared" si="182"/>
        <v>263997.62863765121</v>
      </c>
      <c r="AE180" s="485">
        <f t="shared" si="182"/>
        <v>263997.62863765121</v>
      </c>
      <c r="AF180" s="485">
        <f t="shared" si="182"/>
        <v>263997.62863765121</v>
      </c>
      <c r="AG180" s="485">
        <f t="shared" si="182"/>
        <v>263997.62863765121</v>
      </c>
      <c r="AH180" s="485">
        <f>AH178-AH174</f>
        <v>263997.62863765121</v>
      </c>
      <c r="AI180" s="485">
        <f t="shared" ref="AI180:AM180" si="183">AI178-AI174</f>
        <v>263997.62863765121</v>
      </c>
      <c r="AJ180" s="485">
        <f t="shared" si="183"/>
        <v>263997.62863765121</v>
      </c>
      <c r="AK180" s="485">
        <f t="shared" si="183"/>
        <v>263997.62863765121</v>
      </c>
      <c r="AL180" s="485">
        <f t="shared" si="183"/>
        <v>263997.62863765121</v>
      </c>
      <c r="AM180" s="485">
        <f t="shared" si="183"/>
        <v>263997.62863765121</v>
      </c>
    </row>
    <row r="181" spans="1:39" x14ac:dyDescent="0.2">
      <c r="A181" s="542"/>
      <c r="B181" s="542"/>
      <c r="C181" s="542"/>
      <c r="D181" s="542"/>
      <c r="E181" s="542"/>
      <c r="F181" s="542"/>
      <c r="G181" s="542"/>
      <c r="H181" s="542"/>
      <c r="I181" s="542"/>
      <c r="J181" s="542"/>
      <c r="K181" s="542"/>
      <c r="L181" s="542"/>
      <c r="M181" s="542"/>
      <c r="N181" s="542"/>
      <c r="O181" s="542"/>
      <c r="P181" s="542"/>
      <c r="Q181" s="542"/>
      <c r="R181" s="542"/>
      <c r="S181" s="542"/>
      <c r="T181" s="542"/>
      <c r="U181" s="542"/>
      <c r="V181" s="542"/>
      <c r="W181" s="542"/>
      <c r="X181" s="542"/>
      <c r="Y181" s="542"/>
      <c r="Z181" s="542"/>
      <c r="AA181" s="542"/>
      <c r="AB181" s="542"/>
      <c r="AC181" s="542"/>
      <c r="AD181" s="542"/>
      <c r="AE181" s="542"/>
      <c r="AF181" s="542"/>
      <c r="AG181" s="542"/>
      <c r="AH181" s="542"/>
      <c r="AI181" s="542"/>
      <c r="AJ181" s="542"/>
      <c r="AK181" s="542"/>
      <c r="AL181" s="542"/>
      <c r="AM181" s="542"/>
    </row>
    <row r="182" spans="1:39" x14ac:dyDescent="0.2">
      <c r="A182" s="542"/>
      <c r="B182" s="542"/>
      <c r="C182" s="542"/>
      <c r="D182" s="542"/>
      <c r="E182" s="542"/>
      <c r="F182" s="542"/>
      <c r="G182" s="542"/>
      <c r="H182" s="542"/>
      <c r="I182" s="542"/>
      <c r="J182" s="542"/>
      <c r="K182" s="542"/>
      <c r="L182" s="542"/>
      <c r="M182" s="542"/>
      <c r="N182" s="542"/>
      <c r="O182" s="542"/>
      <c r="P182" s="542"/>
      <c r="Q182" s="542"/>
      <c r="R182" s="542"/>
      <c r="S182" s="542"/>
      <c r="T182" s="542"/>
      <c r="U182" s="542"/>
      <c r="V182" s="542"/>
      <c r="W182" s="542"/>
      <c r="X182" s="542"/>
      <c r="Y182" s="542"/>
      <c r="Z182" s="542"/>
      <c r="AA182" s="542"/>
      <c r="AB182" s="542"/>
      <c r="AC182" s="542"/>
      <c r="AD182" s="542"/>
      <c r="AE182" s="542"/>
      <c r="AF182" s="542"/>
      <c r="AG182" s="542"/>
      <c r="AH182" s="542"/>
      <c r="AI182" s="542"/>
      <c r="AJ182" s="542"/>
      <c r="AK182" s="542"/>
      <c r="AL182" s="542"/>
      <c r="AM182" s="542"/>
    </row>
    <row r="183" spans="1:39" x14ac:dyDescent="0.2">
      <c r="A183" s="235" t="s">
        <v>647</v>
      </c>
    </row>
    <row r="184" spans="1:39" x14ac:dyDescent="0.2">
      <c r="A184" s="479" t="s">
        <v>33</v>
      </c>
      <c r="B184" s="498" t="s">
        <v>508</v>
      </c>
      <c r="C184" s="481">
        <v>2023</v>
      </c>
      <c r="D184" s="481">
        <v>2024</v>
      </c>
      <c r="E184" s="481">
        <v>2025</v>
      </c>
      <c r="F184" s="481">
        <v>2026</v>
      </c>
      <c r="G184" s="481">
        <v>2027</v>
      </c>
      <c r="H184" s="481">
        <v>2028</v>
      </c>
      <c r="I184" s="481">
        <v>2029</v>
      </c>
      <c r="J184" s="481">
        <v>2030</v>
      </c>
      <c r="K184" s="481">
        <v>2031</v>
      </c>
      <c r="L184" s="481">
        <v>2032</v>
      </c>
      <c r="M184" s="481">
        <v>2033</v>
      </c>
      <c r="N184" s="481">
        <v>2034</v>
      </c>
      <c r="O184" s="481">
        <v>2035</v>
      </c>
      <c r="P184" s="481">
        <v>2036</v>
      </c>
      <c r="Q184" s="481">
        <v>2037</v>
      </c>
      <c r="R184" s="481">
        <v>2038</v>
      </c>
      <c r="S184" s="481">
        <v>2039</v>
      </c>
      <c r="T184" s="481">
        <v>2040</v>
      </c>
      <c r="U184" s="481">
        <v>2041</v>
      </c>
      <c r="V184" s="481">
        <v>2042</v>
      </c>
      <c r="W184" s="481">
        <v>2043</v>
      </c>
      <c r="X184" s="481">
        <v>2044</v>
      </c>
      <c r="Y184" s="481">
        <v>2045</v>
      </c>
      <c r="Z184" s="481">
        <v>2046</v>
      </c>
      <c r="AA184" s="481">
        <v>2047</v>
      </c>
      <c r="AB184" s="481">
        <v>2048</v>
      </c>
      <c r="AC184" s="481">
        <v>2049</v>
      </c>
      <c r="AD184" s="481">
        <v>2050</v>
      </c>
      <c r="AE184" s="481">
        <v>2051</v>
      </c>
      <c r="AF184" s="481">
        <v>2052</v>
      </c>
      <c r="AG184" s="481">
        <v>2053</v>
      </c>
      <c r="AH184" s="481">
        <v>2054</v>
      </c>
      <c r="AI184" s="481">
        <v>2055</v>
      </c>
      <c r="AJ184" s="481">
        <v>2056</v>
      </c>
      <c r="AK184" s="481">
        <v>2057</v>
      </c>
      <c r="AL184" s="481">
        <v>2058</v>
      </c>
      <c r="AM184" s="481">
        <v>2059</v>
      </c>
    </row>
    <row r="185" spans="1:39" x14ac:dyDescent="0.2">
      <c r="A185" s="234" t="s">
        <v>274</v>
      </c>
      <c r="B185" s="485">
        <f>SUM(E185:AM185)</f>
        <v>488584787.84754431</v>
      </c>
      <c r="C185" s="527">
        <f>C95+C106+C117+C128+C140+C151+C162+C174</f>
        <v>10537361.249034252</v>
      </c>
      <c r="D185" s="527">
        <f t="shared" ref="D185:AH185" si="184">D95+D106+D117+D128+D140+D151+D162+D174</f>
        <v>10669622.101205252</v>
      </c>
      <c r="E185" s="527">
        <f t="shared" si="184"/>
        <v>10804450.148465233</v>
      </c>
      <c r="F185" s="527">
        <f t="shared" si="184"/>
        <v>10941902.099054523</v>
      </c>
      <c r="G185" s="527">
        <f t="shared" si="184"/>
        <v>11082036.014324727</v>
      </c>
      <c r="H185" s="527">
        <f t="shared" si="184"/>
        <v>11224911.342854349</v>
      </c>
      <c r="I185" s="527">
        <f t="shared" si="184"/>
        <v>11370588.955462676</v>
      </c>
      <c r="J185" s="527">
        <f t="shared" si="184"/>
        <v>11519131.181146476</v>
      </c>
      <c r="K185" s="527">
        <f t="shared" si="184"/>
        <v>11670601.843964608</v>
      </c>
      <c r="L185" s="527">
        <f t="shared" si="184"/>
        <v>11825066.300896466</v>
      </c>
      <c r="M185" s="527">
        <f t="shared" si="184"/>
        <v>11984363.068158027</v>
      </c>
      <c r="N185" s="527">
        <f t="shared" si="184"/>
        <v>12152862.210450387</v>
      </c>
      <c r="O185" s="527">
        <f t="shared" si="184"/>
        <v>12324997.813697191</v>
      </c>
      <c r="P185" s="527">
        <f t="shared" si="184"/>
        <v>12500861.762976088</v>
      </c>
      <c r="Q185" s="527">
        <f t="shared" si="184"/>
        <v>12680548.528501358</v>
      </c>
      <c r="R185" s="527">
        <f t="shared" si="184"/>
        <v>12864155.244177101</v>
      </c>
      <c r="S185" s="527">
        <f t="shared" si="184"/>
        <v>13051781.788668156</v>
      </c>
      <c r="T185" s="527">
        <f t="shared" si="184"/>
        <v>13243530.869072307</v>
      </c>
      <c r="U185" s="527">
        <f t="shared" si="184"/>
        <v>13439508.107280217</v>
      </c>
      <c r="V185" s="527">
        <f t="shared" si="184"/>
        <v>13641847.744451398</v>
      </c>
      <c r="W185" s="527">
        <f t="shared" si="184"/>
        <v>13856923.44915133</v>
      </c>
      <c r="X185" s="527">
        <f t="shared" si="184"/>
        <v>14077251.592047991</v>
      </c>
      <c r="Y185" s="527">
        <f t="shared" si="184"/>
        <v>14302987.008164365</v>
      </c>
      <c r="Z185" s="527">
        <f t="shared" si="184"/>
        <v>14534289.708871398</v>
      </c>
      <c r="AA185" s="527">
        <f t="shared" si="184"/>
        <v>14771325.069336342</v>
      </c>
      <c r="AB185" s="527">
        <f t="shared" si="184"/>
        <v>15014264.023083569</v>
      </c>
      <c r="AC185" s="527">
        <f t="shared" si="184"/>
        <v>15263283.263944656</v>
      </c>
      <c r="AD185" s="527">
        <f t="shared" si="184"/>
        <v>15518565.455685534</v>
      </c>
      <c r="AE185" s="527">
        <f t="shared" si="184"/>
        <v>15782720.247448454</v>
      </c>
      <c r="AF185" s="527">
        <f t="shared" si="184"/>
        <v>16065325.919252342</v>
      </c>
      <c r="AG185" s="527">
        <f t="shared" si="184"/>
        <v>16355887.262815857</v>
      </c>
      <c r="AH185" s="527">
        <f t="shared" si="184"/>
        <v>16654680.330261022</v>
      </c>
      <c r="AI185" s="527">
        <f t="shared" ref="AI185:AM185" si="185">AI95+AI106+AI117+AI128+AI140+AI151+AI162+AI174</f>
        <v>16961992.036150903</v>
      </c>
      <c r="AJ185" s="527">
        <f t="shared" si="185"/>
        <v>17278120.615252595</v>
      </c>
      <c r="AK185" s="527">
        <f t="shared" si="185"/>
        <v>17603376.100267626</v>
      </c>
      <c r="AL185" s="527">
        <f t="shared" si="185"/>
        <v>17938080.820415251</v>
      </c>
      <c r="AM185" s="527">
        <f t="shared" si="185"/>
        <v>18282569.921793703</v>
      </c>
    </row>
    <row r="186" spans="1:39" x14ac:dyDescent="0.2">
      <c r="A186" s="528" t="s">
        <v>34</v>
      </c>
      <c r="B186" s="498" t="s">
        <v>508</v>
      </c>
      <c r="C186" s="782"/>
      <c r="D186" s="536"/>
      <c r="E186" s="536"/>
      <c r="F186" s="536"/>
      <c r="G186" s="536"/>
      <c r="H186" s="536"/>
      <c r="I186" s="536"/>
      <c r="J186" s="536"/>
      <c r="K186" s="536"/>
      <c r="L186" s="536"/>
      <c r="M186" s="536"/>
      <c r="N186" s="536"/>
      <c r="O186" s="536"/>
      <c r="P186" s="536"/>
      <c r="Q186" s="536"/>
      <c r="R186" s="536"/>
      <c r="S186" s="536"/>
      <c r="T186" s="536"/>
      <c r="U186" s="536"/>
      <c r="V186" s="536"/>
      <c r="W186" s="536"/>
      <c r="X186" s="536"/>
      <c r="Y186" s="536"/>
      <c r="Z186" s="536"/>
      <c r="AA186" s="536"/>
      <c r="AB186" s="536"/>
      <c r="AC186" s="536"/>
      <c r="AD186" s="536"/>
      <c r="AE186" s="536"/>
      <c r="AF186" s="536"/>
      <c r="AG186" s="537"/>
      <c r="AH186" s="537"/>
      <c r="AI186" s="536"/>
      <c r="AJ186" s="537"/>
      <c r="AK186" s="537"/>
      <c r="AL186" s="536"/>
      <c r="AM186" s="537"/>
    </row>
    <row r="187" spans="1:39" x14ac:dyDescent="0.2">
      <c r="A187" s="234" t="s">
        <v>274</v>
      </c>
      <c r="B187" s="485">
        <f>SUM(E187:AM187)</f>
        <v>523873634.26319414</v>
      </c>
      <c r="C187" s="527">
        <f>C98+C109+C120+C131+C143+C154+C166+C178</f>
        <v>10537361.249034252</v>
      </c>
      <c r="D187" s="527">
        <f t="shared" ref="D187:AH187" si="186">D98+D109+D120+D131+D143+D154+D166+D178</f>
        <v>10669622.101205252</v>
      </c>
      <c r="E187" s="527">
        <f t="shared" si="186"/>
        <v>10804450.148465233</v>
      </c>
      <c r="F187" s="527">
        <f t="shared" si="186"/>
        <v>10941902.099054523</v>
      </c>
      <c r="G187" s="527">
        <f t="shared" si="186"/>
        <v>11082036.014324727</v>
      </c>
      <c r="H187" s="527">
        <f t="shared" si="186"/>
        <v>12173773.832425959</v>
      </c>
      <c r="I187" s="527">
        <f t="shared" si="186"/>
        <v>12329783.098804396</v>
      </c>
      <c r="J187" s="527">
        <f t="shared" si="186"/>
        <v>12488564.834810406</v>
      </c>
      <c r="K187" s="527">
        <f t="shared" si="186"/>
        <v>12650171.188403958</v>
      </c>
      <c r="L187" s="527">
        <f t="shared" si="186"/>
        <v>12814655.313426659</v>
      </c>
      <c r="M187" s="527">
        <f t="shared" si="186"/>
        <v>12982071.389253855</v>
      </c>
      <c r="N187" s="527">
        <f t="shared" si="186"/>
        <v>13164000.71467348</v>
      </c>
      <c r="O187" s="527">
        <f t="shared" si="186"/>
        <v>13349549.81049186</v>
      </c>
      <c r="P187" s="527">
        <f t="shared" si="186"/>
        <v>13538797.954045394</v>
      </c>
      <c r="Q187" s="527">
        <f t="shared" si="186"/>
        <v>13731826.279953184</v>
      </c>
      <c r="R187" s="527">
        <f t="shared" si="186"/>
        <v>13928717.826101396</v>
      </c>
      <c r="S187" s="527">
        <f t="shared" si="186"/>
        <v>14129557.580820808</v>
      </c>
      <c r="T187" s="527">
        <f t="shared" si="186"/>
        <v>14334432.531289613</v>
      </c>
      <c r="U187" s="527">
        <f t="shared" si="186"/>
        <v>14543431.713194618</v>
      </c>
      <c r="V187" s="527">
        <f t="shared" si="186"/>
        <v>14756646.261684811</v>
      </c>
      <c r="W187" s="527">
        <f t="shared" si="186"/>
        <v>14981688.919682769</v>
      </c>
      <c r="X187" s="527">
        <f t="shared" si="186"/>
        <v>15211624.488079058</v>
      </c>
      <c r="Y187" s="527">
        <f t="shared" si="186"/>
        <v>15446574.593856962</v>
      </c>
      <c r="Z187" s="527">
        <f t="shared" si="186"/>
        <v>15686664.219538139</v>
      </c>
      <c r="AA187" s="527">
        <f t="shared" si="186"/>
        <v>15932021.803584481</v>
      </c>
      <c r="AB187" s="527">
        <f t="shared" si="186"/>
        <v>16182779.343985364</v>
      </c>
      <c r="AC187" s="527">
        <f t="shared" si="186"/>
        <v>16439072.505135296</v>
      </c>
      <c r="AD187" s="527">
        <f t="shared" si="186"/>
        <v>16701040.728110589</v>
      </c>
      <c r="AE187" s="527">
        <f t="shared" si="186"/>
        <v>16968827.344457369</v>
      </c>
      <c r="AF187" s="527">
        <f t="shared" si="186"/>
        <v>17252827.940329</v>
      </c>
      <c r="AG187" s="527">
        <f t="shared" si="186"/>
        <v>17543714.355987202</v>
      </c>
      <c r="AH187" s="527">
        <f t="shared" si="186"/>
        <v>17841685.612836517</v>
      </c>
      <c r="AI187" s="527">
        <f t="shared" ref="AI187:AM187" si="187">AI98+AI109+AI120+AI131+AI143+AI154+AI166+AI178</f>
        <v>18146947.286745626</v>
      </c>
      <c r="AJ187" s="527">
        <f t="shared" si="187"/>
        <v>18459711.743446782</v>
      </c>
      <c r="AK187" s="527">
        <f t="shared" si="187"/>
        <v>18780198.382832401</v>
      </c>
      <c r="AL187" s="527">
        <f t="shared" si="187"/>
        <v>19108633.892494615</v>
      </c>
      <c r="AM187" s="527">
        <f t="shared" si="187"/>
        <v>19445252.510867044</v>
      </c>
    </row>
    <row r="188" spans="1:39" x14ac:dyDescent="0.2">
      <c r="A188" s="234"/>
      <c r="B188" s="530"/>
      <c r="C188" s="551"/>
      <c r="D188" s="551"/>
      <c r="E188" s="551"/>
      <c r="F188" s="551"/>
      <c r="G188" s="551"/>
      <c r="H188" s="551"/>
      <c r="I188" s="551"/>
      <c r="J188" s="551"/>
      <c r="K188" s="551"/>
      <c r="L188" s="551"/>
      <c r="M188" s="551"/>
      <c r="N188" s="552"/>
      <c r="O188" s="552"/>
      <c r="P188" s="552"/>
      <c r="Q188" s="552"/>
      <c r="R188" s="550"/>
      <c r="S188" s="550"/>
      <c r="T188" s="550"/>
      <c r="U188" s="550"/>
      <c r="V188" s="550"/>
      <c r="W188" s="552"/>
      <c r="X188" s="552"/>
      <c r="Y188" s="552"/>
      <c r="Z188" s="552"/>
      <c r="AA188" s="552"/>
      <c r="AB188" s="552"/>
      <c r="AC188" s="551"/>
      <c r="AD188" s="551"/>
      <c r="AE188" s="551"/>
      <c r="AF188" s="551"/>
      <c r="AG188" s="553"/>
      <c r="AH188" s="553"/>
      <c r="AI188" s="551"/>
      <c r="AJ188" s="553"/>
      <c r="AK188" s="553"/>
      <c r="AL188" s="551"/>
      <c r="AM188" s="553"/>
    </row>
    <row r="189" spans="1:39" x14ac:dyDescent="0.2">
      <c r="A189" s="531" t="s">
        <v>669</v>
      </c>
      <c r="B189" s="485">
        <f>SUM(F189:AM189)</f>
        <v>35288846.415649876</v>
      </c>
      <c r="C189" s="485">
        <f>C187-C185</f>
        <v>0</v>
      </c>
      <c r="D189" s="485">
        <f t="shared" ref="D189:AH189" si="188">D187-D185</f>
        <v>0</v>
      </c>
      <c r="E189" s="485">
        <f t="shared" si="188"/>
        <v>0</v>
      </c>
      <c r="F189" s="485">
        <f t="shared" si="188"/>
        <v>0</v>
      </c>
      <c r="G189" s="485">
        <f t="shared" si="188"/>
        <v>0</v>
      </c>
      <c r="H189" s="485">
        <f t="shared" si="188"/>
        <v>948862.48957161047</v>
      </c>
      <c r="I189" s="485">
        <f t="shared" si="188"/>
        <v>959194.1433417201</v>
      </c>
      <c r="J189" s="485">
        <f t="shared" si="188"/>
        <v>969433.65366392955</v>
      </c>
      <c r="K189" s="485">
        <f t="shared" si="188"/>
        <v>979569.34443935007</v>
      </c>
      <c r="L189" s="485">
        <f t="shared" si="188"/>
        <v>989589.01253019273</v>
      </c>
      <c r="M189" s="485">
        <f t="shared" si="188"/>
        <v>997708.32109582797</v>
      </c>
      <c r="N189" s="485">
        <f t="shared" si="188"/>
        <v>1011138.5042230934</v>
      </c>
      <c r="O189" s="485">
        <f t="shared" si="188"/>
        <v>1024551.996794669</v>
      </c>
      <c r="P189" s="485">
        <f t="shared" si="188"/>
        <v>1037936.1910693068</v>
      </c>
      <c r="Q189" s="485">
        <f t="shared" si="188"/>
        <v>1051277.7514518257</v>
      </c>
      <c r="R189" s="485">
        <f t="shared" si="188"/>
        <v>1064562.5819242951</v>
      </c>
      <c r="S189" s="485">
        <f t="shared" si="188"/>
        <v>1077775.7921526525</v>
      </c>
      <c r="T189" s="485">
        <f t="shared" si="188"/>
        <v>1090901.662217306</v>
      </c>
      <c r="U189" s="485">
        <f t="shared" si="188"/>
        <v>1103923.6059144009</v>
      </c>
      <c r="V189" s="485">
        <f t="shared" si="188"/>
        <v>1114798.5172334127</v>
      </c>
      <c r="W189" s="485">
        <f t="shared" si="188"/>
        <v>1124765.4705314394</v>
      </c>
      <c r="X189" s="485">
        <f t="shared" si="188"/>
        <v>1134372.8960310668</v>
      </c>
      <c r="Y189" s="485">
        <f t="shared" si="188"/>
        <v>1143587.5856925976</v>
      </c>
      <c r="Z189" s="485">
        <f t="shared" si="188"/>
        <v>1152374.5106667411</v>
      </c>
      <c r="AA189" s="485">
        <f t="shared" si="188"/>
        <v>1160696.734248139</v>
      </c>
      <c r="AB189" s="485">
        <f t="shared" si="188"/>
        <v>1168515.3209017944</v>
      </c>
      <c r="AC189" s="485">
        <f t="shared" si="188"/>
        <v>1175789.2411906403</v>
      </c>
      <c r="AD189" s="485">
        <f t="shared" si="188"/>
        <v>1182475.2724250555</v>
      </c>
      <c r="AE189" s="485">
        <f t="shared" si="188"/>
        <v>1186107.0970089156</v>
      </c>
      <c r="AF189" s="485">
        <f t="shared" si="188"/>
        <v>1187502.0210766587</v>
      </c>
      <c r="AG189" s="485">
        <f t="shared" si="188"/>
        <v>1187827.0931713451</v>
      </c>
      <c r="AH189" s="485">
        <f t="shared" si="188"/>
        <v>1187005.2825754955</v>
      </c>
      <c r="AI189" s="485">
        <f t="shared" ref="AI189:AM189" si="189">AI187-AI185</f>
        <v>1184955.250594724</v>
      </c>
      <c r="AJ189" s="485">
        <f t="shared" si="189"/>
        <v>1181591.1281941868</v>
      </c>
      <c r="AK189" s="485">
        <f t="shared" si="189"/>
        <v>1176822.2825647742</v>
      </c>
      <c r="AL189" s="485">
        <f t="shared" si="189"/>
        <v>1170553.0720793642</v>
      </c>
      <c r="AM189" s="485">
        <f t="shared" si="189"/>
        <v>1162682.5890733413</v>
      </c>
    </row>
    <row r="191" spans="1:39" x14ac:dyDescent="0.2">
      <c r="A191" s="235" t="s">
        <v>646</v>
      </c>
    </row>
    <row r="192" spans="1:39" x14ac:dyDescent="0.2">
      <c r="A192" s="479" t="s">
        <v>33</v>
      </c>
      <c r="B192" s="498" t="s">
        <v>508</v>
      </c>
      <c r="C192" s="481">
        <v>2023</v>
      </c>
      <c r="D192" s="481">
        <v>2024</v>
      </c>
      <c r="E192" s="481">
        <v>2025</v>
      </c>
      <c r="F192" s="481">
        <v>2026</v>
      </c>
      <c r="G192" s="481">
        <v>2027</v>
      </c>
      <c r="H192" s="481">
        <v>2028</v>
      </c>
      <c r="I192" s="481">
        <v>2029</v>
      </c>
      <c r="J192" s="481">
        <v>2030</v>
      </c>
      <c r="K192" s="481">
        <v>2031</v>
      </c>
      <c r="L192" s="481">
        <v>2032</v>
      </c>
      <c r="M192" s="481">
        <v>2033</v>
      </c>
      <c r="N192" s="481">
        <v>2034</v>
      </c>
      <c r="O192" s="481">
        <v>2035</v>
      </c>
      <c r="P192" s="481">
        <v>2036</v>
      </c>
      <c r="Q192" s="481">
        <v>2037</v>
      </c>
      <c r="R192" s="481">
        <v>2038</v>
      </c>
      <c r="S192" s="481">
        <v>2039</v>
      </c>
      <c r="T192" s="481">
        <v>2040</v>
      </c>
      <c r="U192" s="481">
        <v>2041</v>
      </c>
      <c r="V192" s="481">
        <v>2042</v>
      </c>
      <c r="W192" s="481">
        <v>2043</v>
      </c>
      <c r="X192" s="481">
        <v>2044</v>
      </c>
      <c r="Y192" s="481">
        <v>2045</v>
      </c>
      <c r="Z192" s="481">
        <v>2046</v>
      </c>
      <c r="AA192" s="481">
        <v>2047</v>
      </c>
      <c r="AB192" s="481">
        <v>2048</v>
      </c>
      <c r="AC192" s="481">
        <v>2049</v>
      </c>
      <c r="AD192" s="481">
        <v>2050</v>
      </c>
      <c r="AE192" s="481">
        <v>2051</v>
      </c>
      <c r="AF192" s="481">
        <v>2052</v>
      </c>
      <c r="AG192" s="481">
        <v>2053</v>
      </c>
      <c r="AH192" s="481">
        <v>2054</v>
      </c>
      <c r="AI192" s="481">
        <v>2055</v>
      </c>
      <c r="AJ192" s="481">
        <v>2056</v>
      </c>
      <c r="AK192" s="481">
        <v>2057</v>
      </c>
      <c r="AL192" s="481">
        <v>2058</v>
      </c>
      <c r="AM192" s="481">
        <v>2059</v>
      </c>
    </row>
    <row r="193" spans="1:39" x14ac:dyDescent="0.2">
      <c r="A193" s="234" t="s">
        <v>636</v>
      </c>
      <c r="B193" s="485">
        <f>SUM(E193:AM193)</f>
        <v>45900000</v>
      </c>
      <c r="C193" s="527">
        <f>'03 B_Výdavky na obnovu'!C7</f>
        <v>0</v>
      </c>
      <c r="D193" s="527">
        <f>'03 B_Výdavky na obnovu'!D7</f>
        <v>0</v>
      </c>
      <c r="E193" s="527">
        <f>'03 B_Výdavky na obnovu'!C7</f>
        <v>0</v>
      </c>
      <c r="F193" s="527">
        <f>'03 B_Výdavky na obnovu'!D7</f>
        <v>0</v>
      </c>
      <c r="G193" s="527">
        <f>'03 B_Výdavky na obnovu'!E7</f>
        <v>0</v>
      </c>
      <c r="H193" s="527">
        <f>'03 B_Výdavky na obnovu'!F7</f>
        <v>0</v>
      </c>
      <c r="I193" s="527">
        <f>'03 B_Výdavky na obnovu'!G7</f>
        <v>0</v>
      </c>
      <c r="J193" s="527">
        <f>'03 B_Výdavky na obnovu'!H7</f>
        <v>0</v>
      </c>
      <c r="K193" s="527">
        <f>'03 B_Výdavky na obnovu'!I7</f>
        <v>0</v>
      </c>
      <c r="L193" s="527">
        <f>'03 B_Výdavky na obnovu'!J7</f>
        <v>0</v>
      </c>
      <c r="M193" s="527">
        <f>'03 B_Výdavky na obnovu'!K7</f>
        <v>0</v>
      </c>
      <c r="N193" s="527">
        <f>'03 B_Výdavky na obnovu'!L7</f>
        <v>2550000</v>
      </c>
      <c r="O193" s="527">
        <f>'03 B_Výdavky na obnovu'!M7</f>
        <v>2550000</v>
      </c>
      <c r="P193" s="527">
        <f>'03 B_Výdavky na obnovu'!N7</f>
        <v>2550000</v>
      </c>
      <c r="Q193" s="527">
        <f>'03 B_Výdavky na obnovu'!O7</f>
        <v>2550000</v>
      </c>
      <c r="R193" s="527">
        <f>'03 B_Výdavky na obnovu'!P7</f>
        <v>0</v>
      </c>
      <c r="S193" s="527">
        <f>'03 B_Výdavky na obnovu'!Q7</f>
        <v>0</v>
      </c>
      <c r="T193" s="527">
        <f>'03 B_Výdavky na obnovu'!R7</f>
        <v>0</v>
      </c>
      <c r="U193" s="527">
        <f>'03 B_Výdavky na obnovu'!S7</f>
        <v>0</v>
      </c>
      <c r="V193" s="527">
        <f>'03 B_Výdavky na obnovu'!T7</f>
        <v>0</v>
      </c>
      <c r="W193" s="527">
        <f>'03 B_Výdavky na obnovu'!U7</f>
        <v>0</v>
      </c>
      <c r="X193" s="527">
        <f>'03 B_Výdavky na obnovu'!V7</f>
        <v>6375000</v>
      </c>
      <c r="Y193" s="527">
        <f>'03 B_Výdavky na obnovu'!W7</f>
        <v>6375000</v>
      </c>
      <c r="Z193" s="527">
        <f>'03 B_Výdavky na obnovu'!X7</f>
        <v>6375000</v>
      </c>
      <c r="AA193" s="527">
        <f>'03 B_Výdavky na obnovu'!Y7</f>
        <v>6375000</v>
      </c>
      <c r="AB193" s="527">
        <f>'03 B_Výdavky na obnovu'!Z7</f>
        <v>0</v>
      </c>
      <c r="AC193" s="527">
        <f>'03 B_Výdavky na obnovu'!AA7</f>
        <v>0</v>
      </c>
      <c r="AD193" s="527">
        <f>'03 B_Výdavky na obnovu'!AB7</f>
        <v>0</v>
      </c>
      <c r="AE193" s="527">
        <f>'03 B_Výdavky na obnovu'!AC7</f>
        <v>0</v>
      </c>
      <c r="AF193" s="527">
        <f>'03 B_Výdavky na obnovu'!AD7</f>
        <v>0</v>
      </c>
      <c r="AG193" s="527">
        <f>'03 B_Výdavky na obnovu'!AE7</f>
        <v>0</v>
      </c>
      <c r="AH193" s="527">
        <f>'03 B_Výdavky na obnovu'!AF7</f>
        <v>2550000</v>
      </c>
      <c r="AI193" s="527">
        <f>'03 B_Výdavky na obnovu'!AG7</f>
        <v>2550000</v>
      </c>
      <c r="AJ193" s="527">
        <f>'03 B_Výdavky na obnovu'!AH7</f>
        <v>2550000</v>
      </c>
      <c r="AK193" s="527">
        <f>'03 B_Výdavky na obnovu'!AI7</f>
        <v>2550000</v>
      </c>
      <c r="AL193" s="527">
        <f>'03 B_Výdavky na obnovu'!AJ7</f>
        <v>0</v>
      </c>
      <c r="AM193" s="527">
        <f>'03 B_Výdavky na obnovu'!AK7</f>
        <v>0</v>
      </c>
    </row>
    <row r="194" spans="1:39" x14ac:dyDescent="0.2">
      <c r="A194" s="528" t="s">
        <v>34</v>
      </c>
      <c r="B194" s="498" t="s">
        <v>508</v>
      </c>
      <c r="C194" s="782"/>
      <c r="D194" s="536"/>
      <c r="E194" s="536"/>
      <c r="F194" s="536"/>
      <c r="G194" s="536"/>
      <c r="H194" s="536"/>
      <c r="I194" s="536"/>
      <c r="J194" s="536"/>
      <c r="K194" s="536"/>
      <c r="L194" s="536"/>
      <c r="M194" s="536"/>
      <c r="N194" s="536"/>
      <c r="O194" s="536"/>
      <c r="P194" s="536"/>
      <c r="Q194" s="536"/>
      <c r="R194" s="536"/>
      <c r="S194" s="536"/>
      <c r="T194" s="536"/>
      <c r="U194" s="536"/>
      <c r="V194" s="536"/>
      <c r="W194" s="536"/>
      <c r="X194" s="536"/>
      <c r="Y194" s="536"/>
      <c r="Z194" s="536"/>
      <c r="AA194" s="536"/>
      <c r="AB194" s="536"/>
      <c r="AC194" s="536"/>
      <c r="AD194" s="536"/>
      <c r="AE194" s="536"/>
      <c r="AF194" s="536"/>
      <c r="AG194" s="537"/>
      <c r="AH194" s="537"/>
      <c r="AI194" s="536"/>
      <c r="AJ194" s="537"/>
      <c r="AK194" s="537"/>
      <c r="AL194" s="536"/>
      <c r="AM194" s="537"/>
    </row>
    <row r="195" spans="1:39" x14ac:dyDescent="0.2">
      <c r="A195" s="234" t="s">
        <v>637</v>
      </c>
      <c r="B195" s="485">
        <f>SUM(E195:AM195)</f>
        <v>81600000</v>
      </c>
      <c r="C195" s="527">
        <f>'03 B_Výdavky na obnovu'!C11</f>
        <v>0</v>
      </c>
      <c r="D195" s="527">
        <f>'03 B_Výdavky na obnovu'!D11</f>
        <v>0</v>
      </c>
      <c r="E195" s="527">
        <f>'03 B_Výdavky na obnovu'!C11</f>
        <v>0</v>
      </c>
      <c r="F195" s="527">
        <f>'03 B_Výdavky na obnovu'!D11</f>
        <v>0</v>
      </c>
      <c r="G195" s="527">
        <f>'03 B_Výdavky na obnovu'!E11</f>
        <v>0</v>
      </c>
      <c r="H195" s="527">
        <f>'03 B_Výdavky na obnovu'!F11</f>
        <v>0</v>
      </c>
      <c r="I195" s="527">
        <f>'03 B_Výdavky na obnovu'!G11</f>
        <v>0</v>
      </c>
      <c r="J195" s="527">
        <f>'03 B_Výdavky na obnovu'!H11</f>
        <v>0</v>
      </c>
      <c r="K195" s="527">
        <f>'03 B_Výdavky na obnovu'!I11</f>
        <v>0</v>
      </c>
      <c r="L195" s="527">
        <f>'03 B_Výdavky na obnovu'!J11</f>
        <v>0</v>
      </c>
      <c r="M195" s="527">
        <f>'03 B_Výdavky na obnovu'!K11</f>
        <v>0</v>
      </c>
      <c r="N195" s="527">
        <f>'03 B_Výdavky na obnovu'!L11</f>
        <v>0</v>
      </c>
      <c r="O195" s="527">
        <f>'03 B_Výdavky na obnovu'!M11</f>
        <v>0</v>
      </c>
      <c r="P195" s="527">
        <f>'03 B_Výdavky na obnovu'!N11</f>
        <v>0</v>
      </c>
      <c r="Q195" s="527">
        <f>'03 B_Výdavky na obnovu'!O11</f>
        <v>0</v>
      </c>
      <c r="R195" s="527">
        <f>'03 B_Výdavky na obnovu'!P11</f>
        <v>0</v>
      </c>
      <c r="S195" s="527">
        <f>'03 B_Výdavky na obnovu'!Q11</f>
        <v>0</v>
      </c>
      <c r="T195" s="527">
        <f>'03 B_Výdavky na obnovu'!R11</f>
        <v>0</v>
      </c>
      <c r="U195" s="527">
        <f>'03 B_Výdavky na obnovu'!S11</f>
        <v>0</v>
      </c>
      <c r="V195" s="527">
        <f>'03 B_Výdavky na obnovu'!T11</f>
        <v>0</v>
      </c>
      <c r="W195" s="527">
        <f>'03 B_Výdavky na obnovu'!U11</f>
        <v>0</v>
      </c>
      <c r="X195" s="527">
        <f>'03 B_Výdavky na obnovu'!V11</f>
        <v>0</v>
      </c>
      <c r="Y195" s="527">
        <f>'03 B_Výdavky na obnovu'!W11</f>
        <v>0</v>
      </c>
      <c r="Z195" s="527">
        <f>'03 B_Výdavky na obnovu'!X11</f>
        <v>5355000</v>
      </c>
      <c r="AA195" s="527">
        <f>'03 B_Výdavky na obnovu'!Y11</f>
        <v>5355000</v>
      </c>
      <c r="AB195" s="527">
        <f>'03 B_Výdavky na obnovu'!Z11</f>
        <v>5355000</v>
      </c>
      <c r="AC195" s="527">
        <f>'03 B_Výdavky na obnovu'!AA11</f>
        <v>5355000</v>
      </c>
      <c r="AD195" s="527">
        <f>'03 B_Výdavky na obnovu'!AB11</f>
        <v>0</v>
      </c>
      <c r="AE195" s="527">
        <f>'03 B_Výdavky na obnovu'!AC11</f>
        <v>0</v>
      </c>
      <c r="AF195" s="527">
        <f>'03 B_Výdavky na obnovu'!AD11</f>
        <v>0</v>
      </c>
      <c r="AG195" s="527">
        <f>'03 B_Výdavky na obnovu'!AE11</f>
        <v>0</v>
      </c>
      <c r="AH195" s="527">
        <f>'03 B_Výdavky na obnovu'!AF11</f>
        <v>0</v>
      </c>
      <c r="AI195" s="527">
        <f>'03 B_Výdavky na obnovu'!AG11</f>
        <v>0</v>
      </c>
      <c r="AJ195" s="527">
        <f>'03 B_Výdavky na obnovu'!AH11</f>
        <v>15045000</v>
      </c>
      <c r="AK195" s="527">
        <f>'03 B_Výdavky na obnovu'!AI11</f>
        <v>15045000</v>
      </c>
      <c r="AL195" s="527">
        <f>'03 B_Výdavky na obnovu'!AJ11</f>
        <v>15045000</v>
      </c>
      <c r="AM195" s="527">
        <f>'03 B_Výdavky na obnovu'!AK11</f>
        <v>15045000</v>
      </c>
    </row>
    <row r="196" spans="1:39" x14ac:dyDescent="0.2">
      <c r="A196" s="234"/>
      <c r="B196" s="530"/>
      <c r="C196" s="551"/>
      <c r="D196" s="551"/>
      <c r="E196" s="551"/>
      <c r="F196" s="551"/>
      <c r="G196" s="551"/>
      <c r="H196" s="551"/>
      <c r="I196" s="551"/>
      <c r="J196" s="551"/>
      <c r="K196" s="551"/>
      <c r="L196" s="551"/>
      <c r="M196" s="551"/>
      <c r="N196" s="552"/>
      <c r="O196" s="552"/>
      <c r="P196" s="552"/>
      <c r="Q196" s="552"/>
      <c r="R196" s="550"/>
      <c r="S196" s="550"/>
      <c r="T196" s="550"/>
      <c r="U196" s="550"/>
      <c r="V196" s="550"/>
      <c r="W196" s="552"/>
      <c r="X196" s="552"/>
      <c r="Y196" s="552"/>
      <c r="Z196" s="552"/>
      <c r="AA196" s="552"/>
      <c r="AB196" s="552"/>
      <c r="AC196" s="551"/>
      <c r="AD196" s="551"/>
      <c r="AE196" s="551"/>
      <c r="AF196" s="551"/>
      <c r="AG196" s="553"/>
      <c r="AH196" s="553"/>
      <c r="AI196" s="551"/>
      <c r="AJ196" s="553"/>
      <c r="AK196" s="553"/>
      <c r="AL196" s="551"/>
      <c r="AM196" s="553"/>
    </row>
    <row r="197" spans="1:39" x14ac:dyDescent="0.2">
      <c r="A197" s="531" t="s">
        <v>638</v>
      </c>
      <c r="B197" s="485">
        <f>SUM(F197:AM197)</f>
        <v>35700000</v>
      </c>
      <c r="C197" s="485">
        <f>C194-C193</f>
        <v>0</v>
      </c>
      <c r="D197" s="485">
        <f>D194-D193</f>
        <v>0</v>
      </c>
      <c r="E197" s="485">
        <f t="shared" ref="E197:AH197" si="190">E195-E193</f>
        <v>0</v>
      </c>
      <c r="F197" s="485">
        <f t="shared" si="190"/>
        <v>0</v>
      </c>
      <c r="G197" s="485">
        <f t="shared" si="190"/>
        <v>0</v>
      </c>
      <c r="H197" s="485">
        <f t="shared" si="190"/>
        <v>0</v>
      </c>
      <c r="I197" s="485">
        <f t="shared" si="190"/>
        <v>0</v>
      </c>
      <c r="J197" s="485">
        <f t="shared" si="190"/>
        <v>0</v>
      </c>
      <c r="K197" s="485">
        <f t="shared" si="190"/>
        <v>0</v>
      </c>
      <c r="L197" s="485">
        <f t="shared" si="190"/>
        <v>0</v>
      </c>
      <c r="M197" s="485">
        <f t="shared" si="190"/>
        <v>0</v>
      </c>
      <c r="N197" s="485">
        <f t="shared" si="190"/>
        <v>-2550000</v>
      </c>
      <c r="O197" s="485">
        <f t="shared" si="190"/>
        <v>-2550000</v>
      </c>
      <c r="P197" s="485">
        <f t="shared" si="190"/>
        <v>-2550000</v>
      </c>
      <c r="Q197" s="485">
        <f t="shared" si="190"/>
        <v>-2550000</v>
      </c>
      <c r="R197" s="485">
        <f t="shared" si="190"/>
        <v>0</v>
      </c>
      <c r="S197" s="485">
        <f t="shared" si="190"/>
        <v>0</v>
      </c>
      <c r="T197" s="485">
        <f t="shared" si="190"/>
        <v>0</v>
      </c>
      <c r="U197" s="485">
        <f t="shared" si="190"/>
        <v>0</v>
      </c>
      <c r="V197" s="485">
        <f t="shared" si="190"/>
        <v>0</v>
      </c>
      <c r="W197" s="485">
        <f t="shared" si="190"/>
        <v>0</v>
      </c>
      <c r="X197" s="485">
        <f t="shared" si="190"/>
        <v>-6375000</v>
      </c>
      <c r="Y197" s="485">
        <f t="shared" si="190"/>
        <v>-6375000</v>
      </c>
      <c r="Z197" s="485">
        <f t="shared" si="190"/>
        <v>-1020000</v>
      </c>
      <c r="AA197" s="485">
        <f t="shared" si="190"/>
        <v>-1020000</v>
      </c>
      <c r="AB197" s="485">
        <f t="shared" si="190"/>
        <v>5355000</v>
      </c>
      <c r="AC197" s="485">
        <f t="shared" si="190"/>
        <v>5355000</v>
      </c>
      <c r="AD197" s="485">
        <f t="shared" si="190"/>
        <v>0</v>
      </c>
      <c r="AE197" s="485">
        <f t="shared" si="190"/>
        <v>0</v>
      </c>
      <c r="AF197" s="485">
        <f t="shared" si="190"/>
        <v>0</v>
      </c>
      <c r="AG197" s="485">
        <f t="shared" si="190"/>
        <v>0</v>
      </c>
      <c r="AH197" s="485">
        <f t="shared" si="190"/>
        <v>-2550000</v>
      </c>
      <c r="AI197" s="485">
        <f t="shared" ref="AI197:AM197" si="191">AI195-AI193</f>
        <v>-2550000</v>
      </c>
      <c r="AJ197" s="485">
        <f t="shared" si="191"/>
        <v>12495000</v>
      </c>
      <c r="AK197" s="485">
        <f t="shared" si="191"/>
        <v>12495000</v>
      </c>
      <c r="AL197" s="485">
        <f t="shared" si="191"/>
        <v>15045000</v>
      </c>
      <c r="AM197" s="485">
        <f t="shared" si="191"/>
        <v>15045000</v>
      </c>
    </row>
    <row r="199" spans="1:39" x14ac:dyDescent="0.2">
      <c r="B199" s="554"/>
      <c r="E199" s="247"/>
      <c r="H199" s="247"/>
    </row>
    <row r="200" spans="1:39" x14ac:dyDescent="0.2">
      <c r="B200" s="555"/>
    </row>
    <row r="201" spans="1:39" x14ac:dyDescent="0.2">
      <c r="B201" s="554"/>
      <c r="E201" s="556"/>
      <c r="F201" s="556"/>
      <c r="G201" s="556"/>
      <c r="H201" s="556"/>
      <c r="I201" s="556"/>
      <c r="J201" s="556"/>
      <c r="K201" s="556"/>
      <c r="L201" s="556"/>
      <c r="M201" s="556"/>
      <c r="N201" s="556"/>
      <c r="O201" s="556"/>
      <c r="P201" s="556"/>
      <c r="Q201" s="556"/>
      <c r="R201" s="556"/>
      <c r="S201" s="556"/>
      <c r="T201" s="556"/>
      <c r="U201" s="556"/>
      <c r="V201" s="556"/>
      <c r="W201" s="556"/>
      <c r="X201" s="556"/>
      <c r="Y201" s="556"/>
      <c r="Z201" s="556"/>
      <c r="AA201" s="556"/>
      <c r="AB201" s="556"/>
      <c r="AC201" s="556"/>
      <c r="AD201" s="556"/>
      <c r="AE201" s="556"/>
      <c r="AF201" s="556"/>
      <c r="AG201" s="556"/>
      <c r="AH201" s="556"/>
      <c r="AI201" s="556"/>
      <c r="AJ201" s="556"/>
      <c r="AK201" s="556"/>
      <c r="AL201" s="556"/>
      <c r="AM201" s="556"/>
    </row>
    <row r="205" spans="1:39" x14ac:dyDescent="0.2">
      <c r="A205" s="557"/>
      <c r="B205" s="557"/>
      <c r="C205" s="557"/>
      <c r="D205" s="557"/>
      <c r="E205" s="557"/>
      <c r="F205" s="557"/>
      <c r="G205" s="557"/>
      <c r="H205" s="557"/>
      <c r="I205" s="557"/>
      <c r="J205" s="557"/>
      <c r="K205" s="557"/>
      <c r="L205" s="557"/>
      <c r="M205" s="557"/>
      <c r="N205" s="557"/>
      <c r="O205" s="557"/>
      <c r="P205" s="557"/>
      <c r="Q205" s="557"/>
      <c r="R205" s="557"/>
      <c r="S205" s="557"/>
      <c r="T205" s="557"/>
      <c r="U205" s="557"/>
      <c r="V205" s="557"/>
      <c r="W205" s="557"/>
      <c r="X205" s="557"/>
      <c r="Y205" s="557"/>
      <c r="Z205" s="557"/>
      <c r="AA205" s="557"/>
      <c r="AB205" s="557"/>
      <c r="AC205" s="557"/>
      <c r="AD205" s="557"/>
      <c r="AE205" s="557"/>
      <c r="AF205" s="557"/>
      <c r="AG205" s="557"/>
      <c r="AH205" s="557"/>
      <c r="AI205" s="557"/>
      <c r="AJ205" s="557"/>
      <c r="AK205" s="557"/>
      <c r="AL205" s="557"/>
      <c r="AM205" s="557"/>
    </row>
    <row r="206" spans="1:39" x14ac:dyDescent="0.2">
      <c r="A206" s="557"/>
      <c r="B206" s="557"/>
      <c r="C206" s="557"/>
      <c r="D206" s="557"/>
      <c r="E206" s="557"/>
      <c r="F206" s="557"/>
      <c r="G206" s="557"/>
      <c r="H206" s="557"/>
      <c r="I206" s="557"/>
      <c r="J206" s="557"/>
      <c r="K206" s="557"/>
      <c r="L206" s="557"/>
      <c r="M206" s="557"/>
      <c r="N206" s="557"/>
      <c r="O206" s="557"/>
      <c r="P206" s="557"/>
      <c r="Q206" s="557"/>
      <c r="R206" s="557"/>
      <c r="S206" s="557"/>
      <c r="T206" s="557"/>
      <c r="U206" s="557"/>
      <c r="V206" s="557"/>
      <c r="W206" s="557"/>
      <c r="X206" s="557"/>
      <c r="Y206" s="557"/>
      <c r="Z206" s="557"/>
      <c r="AA206" s="557"/>
      <c r="AB206" s="557"/>
      <c r="AC206" s="557"/>
      <c r="AD206" s="557"/>
      <c r="AE206" s="557"/>
      <c r="AF206" s="557"/>
      <c r="AG206" s="557"/>
      <c r="AH206" s="557"/>
      <c r="AI206" s="557"/>
      <c r="AJ206" s="557"/>
      <c r="AK206" s="557"/>
      <c r="AL206" s="557"/>
      <c r="AM206" s="557"/>
    </row>
    <row r="207" spans="1:39" x14ac:dyDescent="0.2">
      <c r="A207" s="557"/>
      <c r="B207" s="557"/>
      <c r="C207" s="557"/>
      <c r="D207" s="557"/>
      <c r="E207" s="557"/>
      <c r="F207" s="557"/>
      <c r="G207" s="557"/>
      <c r="H207" s="557"/>
      <c r="I207" s="557"/>
      <c r="J207" s="557"/>
      <c r="K207" s="557"/>
      <c r="L207" s="557"/>
      <c r="M207" s="557"/>
      <c r="N207" s="557"/>
      <c r="O207" s="557"/>
      <c r="P207" s="557"/>
      <c r="Q207" s="557"/>
      <c r="R207" s="557"/>
      <c r="S207" s="557"/>
      <c r="T207" s="557"/>
      <c r="U207" s="557"/>
      <c r="V207" s="557"/>
      <c r="W207" s="557"/>
      <c r="X207" s="557"/>
      <c r="Y207" s="557"/>
      <c r="Z207" s="557"/>
      <c r="AA207" s="557"/>
      <c r="AB207" s="557"/>
      <c r="AC207" s="557"/>
      <c r="AD207" s="557"/>
      <c r="AE207" s="557"/>
      <c r="AF207" s="557"/>
      <c r="AG207" s="557"/>
      <c r="AH207" s="557"/>
      <c r="AI207" s="557"/>
      <c r="AJ207" s="557"/>
      <c r="AK207" s="557"/>
      <c r="AL207" s="557"/>
      <c r="AM207" s="557"/>
    </row>
    <row r="208" spans="1:39" x14ac:dyDescent="0.2">
      <c r="A208" s="557"/>
      <c r="B208" s="557"/>
      <c r="C208" s="557"/>
      <c r="D208" s="557"/>
      <c r="E208" s="557"/>
      <c r="F208" s="557"/>
      <c r="G208" s="557"/>
      <c r="H208" s="557"/>
      <c r="I208" s="557"/>
      <c r="J208" s="557"/>
      <c r="K208" s="557"/>
      <c r="L208" s="557"/>
      <c r="M208" s="557"/>
      <c r="N208" s="557"/>
      <c r="O208" s="557"/>
      <c r="P208" s="557"/>
      <c r="Q208" s="557"/>
      <c r="R208" s="557"/>
      <c r="S208" s="557"/>
      <c r="T208" s="557"/>
      <c r="U208" s="557"/>
      <c r="V208" s="557"/>
      <c r="W208" s="557"/>
      <c r="X208" s="557"/>
      <c r="Y208" s="557"/>
      <c r="Z208" s="557"/>
      <c r="AA208" s="557"/>
      <c r="AB208" s="557"/>
      <c r="AC208" s="557"/>
      <c r="AD208" s="557"/>
      <c r="AE208" s="557"/>
      <c r="AF208" s="557"/>
      <c r="AG208" s="557"/>
      <c r="AH208" s="557"/>
      <c r="AI208" s="557"/>
      <c r="AJ208" s="557"/>
      <c r="AK208" s="557"/>
      <c r="AL208" s="557"/>
      <c r="AM208" s="557"/>
    </row>
    <row r="209" spans="1:39" x14ac:dyDescent="0.2">
      <c r="A209" s="557"/>
      <c r="B209" s="557"/>
      <c r="C209" s="557"/>
      <c r="D209" s="557"/>
      <c r="E209" s="557"/>
      <c r="F209" s="557"/>
      <c r="G209" s="557"/>
      <c r="H209" s="557"/>
      <c r="I209" s="557"/>
      <c r="J209" s="557"/>
      <c r="K209" s="557"/>
      <c r="L209" s="557"/>
      <c r="M209" s="557"/>
      <c r="N209" s="557"/>
      <c r="O209" s="557"/>
      <c r="P209" s="557"/>
      <c r="Q209" s="557"/>
      <c r="R209" s="557"/>
      <c r="S209" s="557"/>
      <c r="T209" s="557"/>
      <c r="U209" s="557"/>
      <c r="V209" s="557"/>
      <c r="W209" s="557"/>
      <c r="X209" s="557"/>
      <c r="Y209" s="557"/>
      <c r="Z209" s="557"/>
      <c r="AA209" s="557"/>
      <c r="AB209" s="557"/>
      <c r="AC209" s="557"/>
      <c r="AD209" s="557"/>
      <c r="AE209" s="557"/>
      <c r="AF209" s="557"/>
      <c r="AG209" s="557"/>
      <c r="AH209" s="557"/>
      <c r="AI209" s="557"/>
      <c r="AJ209" s="557"/>
      <c r="AK209" s="557"/>
      <c r="AL209" s="557"/>
      <c r="AM209" s="557"/>
    </row>
    <row r="210" spans="1:39" x14ac:dyDescent="0.2">
      <c r="A210" s="557"/>
      <c r="B210" s="557"/>
      <c r="C210" s="557"/>
      <c r="D210" s="557"/>
      <c r="E210" s="557"/>
      <c r="F210" s="557"/>
      <c r="G210" s="557"/>
      <c r="H210" s="557"/>
      <c r="I210" s="557"/>
      <c r="J210" s="557"/>
      <c r="K210" s="557"/>
      <c r="L210" s="557"/>
      <c r="M210" s="557"/>
      <c r="N210" s="557"/>
      <c r="O210" s="557"/>
      <c r="P210" s="557"/>
      <c r="Q210" s="557"/>
      <c r="R210" s="557"/>
      <c r="S210" s="557"/>
      <c r="T210" s="557"/>
      <c r="U210" s="557"/>
      <c r="V210" s="557"/>
      <c r="W210" s="557"/>
      <c r="X210" s="557"/>
      <c r="Y210" s="557"/>
      <c r="Z210" s="557"/>
      <c r="AA210" s="557"/>
      <c r="AB210" s="557"/>
      <c r="AC210" s="557"/>
      <c r="AD210" s="557"/>
      <c r="AE210" s="557"/>
      <c r="AF210" s="557"/>
      <c r="AG210" s="557"/>
      <c r="AH210" s="557"/>
      <c r="AI210" s="557"/>
      <c r="AJ210" s="557"/>
      <c r="AK210" s="557"/>
      <c r="AL210" s="557"/>
      <c r="AM210" s="557"/>
    </row>
    <row r="211" spans="1:39" x14ac:dyDescent="0.2">
      <c r="A211" s="557"/>
      <c r="B211" s="557"/>
      <c r="C211" s="557"/>
      <c r="D211" s="557"/>
      <c r="E211" s="557"/>
      <c r="F211" s="557"/>
      <c r="G211" s="557"/>
      <c r="H211" s="557"/>
      <c r="I211" s="557"/>
      <c r="J211" s="557"/>
      <c r="K211" s="557"/>
      <c r="L211" s="557"/>
      <c r="M211" s="557"/>
      <c r="N211" s="557"/>
      <c r="O211" s="557"/>
      <c r="P211" s="557"/>
      <c r="Q211" s="557"/>
      <c r="R211" s="557"/>
      <c r="S211" s="557"/>
      <c r="T211" s="557"/>
      <c r="U211" s="557"/>
      <c r="V211" s="557"/>
      <c r="W211" s="557"/>
      <c r="X211" s="557"/>
      <c r="Y211" s="557"/>
      <c r="Z211" s="557"/>
      <c r="AA211" s="557"/>
      <c r="AB211" s="557"/>
      <c r="AC211" s="557"/>
      <c r="AD211" s="557"/>
      <c r="AE211" s="557"/>
      <c r="AF211" s="557"/>
      <c r="AG211" s="557"/>
      <c r="AH211" s="557"/>
      <c r="AI211" s="557"/>
      <c r="AJ211" s="557"/>
      <c r="AK211" s="557"/>
      <c r="AL211" s="557"/>
      <c r="AM211" s="557"/>
    </row>
    <row r="212" spans="1:39" x14ac:dyDescent="0.2">
      <c r="A212" s="557"/>
      <c r="B212" s="557"/>
      <c r="C212" s="557"/>
      <c r="D212" s="557"/>
      <c r="E212" s="557"/>
      <c r="F212" s="557"/>
      <c r="G212" s="557"/>
      <c r="H212" s="557"/>
      <c r="I212" s="557"/>
      <c r="J212" s="557"/>
      <c r="K212" s="557"/>
      <c r="L212" s="557"/>
      <c r="M212" s="557"/>
      <c r="N212" s="557"/>
      <c r="O212" s="557"/>
      <c r="P212" s="557"/>
      <c r="Q212" s="557"/>
      <c r="R212" s="557"/>
      <c r="S212" s="557"/>
      <c r="T212" s="557"/>
      <c r="U212" s="557"/>
      <c r="V212" s="557"/>
      <c r="W212" s="557"/>
      <c r="X212" s="557"/>
      <c r="Y212" s="557"/>
      <c r="Z212" s="557"/>
      <c r="AA212" s="557"/>
      <c r="AB212" s="557"/>
      <c r="AC212" s="557"/>
      <c r="AD212" s="557"/>
      <c r="AE212" s="557"/>
      <c r="AF212" s="557"/>
      <c r="AG212" s="557"/>
      <c r="AH212" s="557"/>
      <c r="AI212" s="557"/>
      <c r="AJ212" s="557"/>
      <c r="AK212" s="557"/>
      <c r="AL212" s="557"/>
      <c r="AM212" s="557"/>
    </row>
  </sheetData>
  <sheetProtection algorithmName="SHA-512" hashValue="xkmNuaDXoz8qBYsJGDLt0G/IYyAdVfOnCgD7HR0j2wOn6MFb/CxclgdUcbcYPIc0Egro9+PQR74+7C62L0/nCQ==" saltValue="zkmtNZTziRHOkAK3Va4W5A==" spinCount="100000" sheet="1" objects="1" scenarios="1"/>
  <mergeCells count="1">
    <mergeCell ref="A40:A41"/>
  </mergeCells>
  <pageMargins left="0.47244094488188981" right="0.19685039370078741" top="0.62992125984251968" bottom="0.39370078740157483" header="0.31496062992125984" footer="0.15748031496062992"/>
  <pageSetup paperSize="9" scale="41" pageOrder="overThenDown" orientation="landscape" r:id="rId1"/>
  <headerFooter>
    <oddHeader>&amp;A</oddHeader>
    <oddFooter>Strana &amp;P z &amp;N</oddFooter>
  </headerFooter>
  <rowBreaks count="2" manualBreakCount="2">
    <brk id="88" max="34" man="1"/>
    <brk id="198" max="34" man="1"/>
  </rowBreaks>
  <colBreaks count="1" manualBreakCount="1">
    <brk id="15" max="18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88388-1204-4EA2-B600-7D30C095E429}">
  <sheetPr>
    <tabColor rgb="FF99FF33"/>
  </sheetPr>
  <dimension ref="A2:AM16"/>
  <sheetViews>
    <sheetView zoomScaleNormal="100" workbookViewId="0"/>
  </sheetViews>
  <sheetFormatPr defaultColWidth="8.7109375" defaultRowHeight="11.25" x14ac:dyDescent="0.2"/>
  <cols>
    <col min="1" max="1" width="75.7109375" style="556" customWidth="1"/>
    <col min="2" max="2" width="16.42578125" style="556" customWidth="1"/>
    <col min="3" max="3" width="17.85546875" style="556" customWidth="1"/>
    <col min="4" max="6" width="14" style="556" bestFit="1" customWidth="1"/>
    <col min="7" max="7" width="12.5703125" style="556" bestFit="1" customWidth="1"/>
    <col min="8" max="9" width="13.140625" style="556" bestFit="1" customWidth="1"/>
    <col min="10" max="11" width="11.5703125" style="556" bestFit="1" customWidth="1"/>
    <col min="12" max="12" width="13.28515625" style="556" customWidth="1"/>
    <col min="13" max="15" width="12.5703125" style="556" bestFit="1" customWidth="1"/>
    <col min="16" max="16" width="13.85546875" style="556" customWidth="1"/>
    <col min="17" max="17" width="13.5703125" style="556" customWidth="1"/>
    <col min="18" max="18" width="14.42578125" style="556" customWidth="1"/>
    <col min="19" max="19" width="12.5703125" style="556" bestFit="1" customWidth="1"/>
    <col min="20" max="20" width="13.5703125" style="556" bestFit="1" customWidth="1"/>
    <col min="21" max="21" width="13.140625" style="556" bestFit="1" customWidth="1"/>
    <col min="22" max="23" width="12.42578125" style="556" bestFit="1" customWidth="1"/>
    <col min="24" max="24" width="12.5703125" style="556" bestFit="1" customWidth="1"/>
    <col min="25" max="25" width="14.42578125" style="556" customWidth="1"/>
    <col min="26" max="26" width="16.85546875" style="556" customWidth="1"/>
    <col min="27" max="27" width="14.85546875" style="556" customWidth="1"/>
    <col min="28" max="28" width="9.140625" style="556" customWidth="1"/>
    <col min="29" max="29" width="9.28515625" style="556" customWidth="1"/>
    <col min="30" max="31" width="9.140625" style="556" bestFit="1" customWidth="1"/>
    <col min="32" max="33" width="12.5703125" style="556" bestFit="1" customWidth="1"/>
    <col min="34" max="34" width="14.85546875" style="556" customWidth="1"/>
    <col min="35" max="37" width="13.7109375" style="556" bestFit="1" customWidth="1"/>
    <col min="38" max="16384" width="8.7109375" style="556"/>
  </cols>
  <sheetData>
    <row r="2" spans="1:39" x14ac:dyDescent="0.2">
      <c r="A2" s="684" t="s">
        <v>643</v>
      </c>
    </row>
    <row r="4" spans="1:39" x14ac:dyDescent="0.2">
      <c r="A4" s="685" t="s">
        <v>588</v>
      </c>
    </row>
    <row r="5" spans="1:39" ht="12" thickBot="1" x14ac:dyDescent="0.25">
      <c r="A5" s="686"/>
    </row>
    <row r="6" spans="1:39" ht="36.75" customHeight="1" thickTop="1" x14ac:dyDescent="0.2">
      <c r="A6" s="687" t="s">
        <v>644</v>
      </c>
      <c r="B6" s="688" t="s">
        <v>508</v>
      </c>
      <c r="C6" s="689">
        <v>2025</v>
      </c>
      <c r="D6" s="689">
        <v>2026</v>
      </c>
      <c r="E6" s="689">
        <v>2027</v>
      </c>
      <c r="F6" s="689">
        <v>2028</v>
      </c>
      <c r="G6" s="689">
        <v>2029</v>
      </c>
      <c r="H6" s="689">
        <v>2030</v>
      </c>
      <c r="I6" s="689">
        <v>2031</v>
      </c>
      <c r="J6" s="689">
        <v>2032</v>
      </c>
      <c r="K6" s="689">
        <v>2033</v>
      </c>
      <c r="L6" s="689">
        <v>2034</v>
      </c>
      <c r="M6" s="689">
        <v>2035</v>
      </c>
      <c r="N6" s="689">
        <v>2036</v>
      </c>
      <c r="O6" s="689">
        <v>2037</v>
      </c>
      <c r="P6" s="689">
        <v>2038</v>
      </c>
      <c r="Q6" s="689">
        <v>2039</v>
      </c>
      <c r="R6" s="689">
        <v>2040</v>
      </c>
      <c r="S6" s="689">
        <v>2041</v>
      </c>
      <c r="T6" s="689">
        <v>2042</v>
      </c>
      <c r="U6" s="689">
        <v>2043</v>
      </c>
      <c r="V6" s="689">
        <v>2044</v>
      </c>
      <c r="W6" s="689">
        <v>2045</v>
      </c>
      <c r="X6" s="689">
        <v>2046</v>
      </c>
      <c r="Y6" s="689">
        <v>2047</v>
      </c>
      <c r="Z6" s="689">
        <v>2048</v>
      </c>
      <c r="AA6" s="689">
        <v>2049</v>
      </c>
      <c r="AB6" s="689">
        <v>2050</v>
      </c>
      <c r="AC6" s="689">
        <v>2051</v>
      </c>
      <c r="AD6" s="689">
        <v>2052</v>
      </c>
      <c r="AE6" s="689">
        <v>2053</v>
      </c>
      <c r="AF6" s="689">
        <v>2054</v>
      </c>
      <c r="AG6" s="689">
        <v>2055</v>
      </c>
      <c r="AH6" s="689">
        <v>2056</v>
      </c>
      <c r="AI6" s="689">
        <v>2057</v>
      </c>
      <c r="AJ6" s="689">
        <v>2058</v>
      </c>
      <c r="AK6" s="689">
        <v>2059</v>
      </c>
    </row>
    <row r="7" spans="1:39" x14ac:dyDescent="0.2">
      <c r="A7" s="690" t="s">
        <v>667</v>
      </c>
      <c r="B7" s="691">
        <f>SUM(C7:AK7)</f>
        <v>45900000</v>
      </c>
      <c r="C7" s="691">
        <v>0</v>
      </c>
      <c r="D7" s="691">
        <v>0</v>
      </c>
      <c r="E7" s="691">
        <v>0</v>
      </c>
      <c r="F7" s="691">
        <v>0</v>
      </c>
      <c r="G7" s="691">
        <v>0</v>
      </c>
      <c r="H7" s="691">
        <v>0</v>
      </c>
      <c r="I7" s="691">
        <v>0</v>
      </c>
      <c r="J7" s="692">
        <v>0</v>
      </c>
      <c r="K7" s="692">
        <v>0</v>
      </c>
      <c r="L7" s="692">
        <f>'01 Investičné výdavky'!$C$54*0.1</f>
        <v>2550000</v>
      </c>
      <c r="M7" s="692">
        <f>'01 Investičné výdavky'!$C$54*0.1</f>
        <v>2550000</v>
      </c>
      <c r="N7" s="692">
        <f>'01 Investičné výdavky'!$C$54*0.1</f>
        <v>2550000</v>
      </c>
      <c r="O7" s="692">
        <f>'01 Investičné výdavky'!$C$54*0.1</f>
        <v>2550000</v>
      </c>
      <c r="P7" s="692">
        <v>0</v>
      </c>
      <c r="Q7" s="692">
        <v>0</v>
      </c>
      <c r="R7" s="692">
        <v>0</v>
      </c>
      <c r="S7" s="692">
        <v>0</v>
      </c>
      <c r="T7" s="692">
        <v>0</v>
      </c>
      <c r="U7" s="692">
        <v>0</v>
      </c>
      <c r="V7" s="691">
        <f>'01 Investičné výdavky'!$C$54*0.25</f>
        <v>6375000</v>
      </c>
      <c r="W7" s="691">
        <f>'01 Investičné výdavky'!$C$54*0.25</f>
        <v>6375000</v>
      </c>
      <c r="X7" s="691">
        <f>'01 Investičné výdavky'!$C$54*0.25</f>
        <v>6375000</v>
      </c>
      <c r="Y7" s="691">
        <f>'01 Investičné výdavky'!$C$54*0.25</f>
        <v>6375000</v>
      </c>
      <c r="Z7" s="691">
        <v>0</v>
      </c>
      <c r="AA7" s="691">
        <v>0</v>
      </c>
      <c r="AB7" s="691">
        <v>0</v>
      </c>
      <c r="AC7" s="691">
        <v>0</v>
      </c>
      <c r="AD7" s="693">
        <v>0</v>
      </c>
      <c r="AE7" s="693">
        <v>0</v>
      </c>
      <c r="AF7" s="691">
        <f>'01 Investičné výdavky'!$C$54*0.1</f>
        <v>2550000</v>
      </c>
      <c r="AG7" s="691">
        <f>'01 Investičné výdavky'!$C$54*0.1</f>
        <v>2550000</v>
      </c>
      <c r="AH7" s="691">
        <f>'01 Investičné výdavky'!$C$54*0.1</f>
        <v>2550000</v>
      </c>
      <c r="AI7" s="691">
        <f>'01 Investičné výdavky'!$C$54*0.1</f>
        <v>2550000</v>
      </c>
      <c r="AJ7" s="693">
        <v>0</v>
      </c>
      <c r="AK7" s="693">
        <v>0</v>
      </c>
    </row>
    <row r="8" spans="1:39" ht="12" thickBot="1" x14ac:dyDescent="0.25">
      <c r="A8" s="694" t="s">
        <v>508</v>
      </c>
      <c r="B8" s="695">
        <f>SUM(C8:AK8)</f>
        <v>45900000</v>
      </c>
      <c r="C8" s="696">
        <f t="shared" ref="C8:AG8" si="0">SUM(C7:C7)</f>
        <v>0</v>
      </c>
      <c r="D8" s="696">
        <f t="shared" si="0"/>
        <v>0</v>
      </c>
      <c r="E8" s="696">
        <f t="shared" si="0"/>
        <v>0</v>
      </c>
      <c r="F8" s="696">
        <f t="shared" si="0"/>
        <v>0</v>
      </c>
      <c r="G8" s="696">
        <f t="shared" si="0"/>
        <v>0</v>
      </c>
      <c r="H8" s="696">
        <f t="shared" si="0"/>
        <v>0</v>
      </c>
      <c r="I8" s="696">
        <f t="shared" si="0"/>
        <v>0</v>
      </c>
      <c r="J8" s="696">
        <f t="shared" si="0"/>
        <v>0</v>
      </c>
      <c r="K8" s="696">
        <f t="shared" si="0"/>
        <v>0</v>
      </c>
      <c r="L8" s="696">
        <f>SUM(L7:L7)</f>
        <v>2550000</v>
      </c>
      <c r="M8" s="696">
        <f t="shared" si="0"/>
        <v>2550000</v>
      </c>
      <c r="N8" s="696">
        <f>SUM(N7:N7)</f>
        <v>2550000</v>
      </c>
      <c r="O8" s="696">
        <f t="shared" si="0"/>
        <v>2550000</v>
      </c>
      <c r="P8" s="696">
        <f t="shared" si="0"/>
        <v>0</v>
      </c>
      <c r="Q8" s="696">
        <f t="shared" si="0"/>
        <v>0</v>
      </c>
      <c r="R8" s="696">
        <f t="shared" si="0"/>
        <v>0</v>
      </c>
      <c r="S8" s="696">
        <f t="shared" si="0"/>
        <v>0</v>
      </c>
      <c r="T8" s="696">
        <f t="shared" si="0"/>
        <v>0</v>
      </c>
      <c r="U8" s="696">
        <f t="shared" si="0"/>
        <v>0</v>
      </c>
      <c r="V8" s="696">
        <f t="shared" si="0"/>
        <v>6375000</v>
      </c>
      <c r="W8" s="696">
        <f t="shared" si="0"/>
        <v>6375000</v>
      </c>
      <c r="X8" s="696">
        <f t="shared" si="0"/>
        <v>6375000</v>
      </c>
      <c r="Y8" s="696">
        <f t="shared" si="0"/>
        <v>6375000</v>
      </c>
      <c r="Z8" s="696">
        <f t="shared" si="0"/>
        <v>0</v>
      </c>
      <c r="AA8" s="696">
        <f t="shared" si="0"/>
        <v>0</v>
      </c>
      <c r="AB8" s="696">
        <f t="shared" si="0"/>
        <v>0</v>
      </c>
      <c r="AC8" s="696">
        <f t="shared" si="0"/>
        <v>0</v>
      </c>
      <c r="AD8" s="696">
        <f t="shared" si="0"/>
        <v>0</v>
      </c>
      <c r="AE8" s="696">
        <f t="shared" si="0"/>
        <v>0</v>
      </c>
      <c r="AF8" s="696">
        <f t="shared" si="0"/>
        <v>2550000</v>
      </c>
      <c r="AG8" s="697">
        <f t="shared" si="0"/>
        <v>2550000</v>
      </c>
      <c r="AH8" s="696">
        <f t="shared" ref="AH8:AK8" si="1">SUM(AH7:AH7)</f>
        <v>2550000</v>
      </c>
      <c r="AI8" s="696">
        <f t="shared" si="1"/>
        <v>2550000</v>
      </c>
      <c r="AJ8" s="697">
        <f t="shared" si="1"/>
        <v>0</v>
      </c>
      <c r="AK8" s="696">
        <f t="shared" si="1"/>
        <v>0</v>
      </c>
    </row>
    <row r="9" spans="1:39" ht="12.75" thickTop="1" thickBot="1" x14ac:dyDescent="0.25">
      <c r="A9" s="698"/>
      <c r="B9" s="699"/>
      <c r="C9" s="699"/>
      <c r="D9" s="700"/>
      <c r="E9" s="700"/>
      <c r="F9" s="700"/>
      <c r="G9" s="700"/>
      <c r="H9" s="700"/>
      <c r="I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700"/>
    </row>
    <row r="10" spans="1:39" ht="12.75" thickTop="1" thickBot="1" x14ac:dyDescent="0.25">
      <c r="A10" s="701" t="s">
        <v>645</v>
      </c>
      <c r="B10" s="702" t="s">
        <v>508</v>
      </c>
      <c r="C10" s="703">
        <v>2025</v>
      </c>
      <c r="D10" s="703">
        <v>2026</v>
      </c>
      <c r="E10" s="703">
        <v>2027</v>
      </c>
      <c r="F10" s="703">
        <v>2028</v>
      </c>
      <c r="G10" s="703">
        <v>2029</v>
      </c>
      <c r="H10" s="703">
        <v>2030</v>
      </c>
      <c r="I10" s="703">
        <v>2031</v>
      </c>
      <c r="J10" s="703">
        <v>2032</v>
      </c>
      <c r="K10" s="703">
        <v>2033</v>
      </c>
      <c r="L10" s="703">
        <v>2034</v>
      </c>
      <c r="M10" s="703">
        <v>2035</v>
      </c>
      <c r="N10" s="703">
        <v>2036</v>
      </c>
      <c r="O10" s="703">
        <v>2037</v>
      </c>
      <c r="P10" s="703">
        <v>2038</v>
      </c>
      <c r="Q10" s="703">
        <v>2039</v>
      </c>
      <c r="R10" s="703">
        <v>2040</v>
      </c>
      <c r="S10" s="703">
        <v>2041</v>
      </c>
      <c r="T10" s="703">
        <v>2042</v>
      </c>
      <c r="U10" s="703">
        <v>2043</v>
      </c>
      <c r="V10" s="703">
        <v>2044</v>
      </c>
      <c r="W10" s="703">
        <v>2045</v>
      </c>
      <c r="X10" s="703">
        <v>2046</v>
      </c>
      <c r="Y10" s="703">
        <v>2047</v>
      </c>
      <c r="Z10" s="703">
        <v>2048</v>
      </c>
      <c r="AA10" s="703">
        <v>2049</v>
      </c>
      <c r="AB10" s="703">
        <v>2050</v>
      </c>
      <c r="AC10" s="703">
        <v>2051</v>
      </c>
      <c r="AD10" s="703">
        <v>2052</v>
      </c>
      <c r="AE10" s="703">
        <v>2053</v>
      </c>
      <c r="AF10" s="703">
        <v>2054</v>
      </c>
      <c r="AG10" s="703">
        <v>2055</v>
      </c>
      <c r="AH10" s="703">
        <v>2056</v>
      </c>
      <c r="AI10" s="703">
        <v>2057</v>
      </c>
      <c r="AJ10" s="703">
        <v>2058</v>
      </c>
      <c r="AK10" s="703">
        <v>2059</v>
      </c>
    </row>
    <row r="11" spans="1:39" ht="16.5" customHeight="1" thickTop="1" thickBot="1" x14ac:dyDescent="0.25">
      <c r="A11" s="690" t="s">
        <v>668</v>
      </c>
      <c r="B11" s="691">
        <f>SUM(C11:AK11)</f>
        <v>81600000</v>
      </c>
      <c r="C11" s="691">
        <v>0</v>
      </c>
      <c r="D11" s="691">
        <v>0</v>
      </c>
      <c r="E11" s="691">
        <v>0</v>
      </c>
      <c r="F11" s="691">
        <v>0</v>
      </c>
      <c r="G11" s="691">
        <v>0</v>
      </c>
      <c r="H11" s="691">
        <v>0</v>
      </c>
      <c r="I11" s="691">
        <v>0</v>
      </c>
      <c r="J11" s="691">
        <v>0</v>
      </c>
      <c r="K11" s="691">
        <v>0</v>
      </c>
      <c r="L11" s="691">
        <v>0</v>
      </c>
      <c r="M11" s="691">
        <v>0</v>
      </c>
      <c r="N11" s="691">
        <v>0</v>
      </c>
      <c r="O11" s="691">
        <v>0</v>
      </c>
      <c r="P11" s="691">
        <v>0</v>
      </c>
      <c r="Q11" s="691">
        <v>0</v>
      </c>
      <c r="R11" s="691">
        <v>0</v>
      </c>
      <c r="S11" s="692">
        <v>0</v>
      </c>
      <c r="T11" s="692">
        <v>0</v>
      </c>
      <c r="U11" s="692">
        <v>0</v>
      </c>
      <c r="V11" s="692">
        <v>0</v>
      </c>
      <c r="W11" s="692">
        <v>0</v>
      </c>
      <c r="X11" s="692">
        <f>'02 Zostatková hodnota'!$D$18</f>
        <v>5355000</v>
      </c>
      <c r="Y11" s="692">
        <f>'02 Zostatková hodnota'!$D$18</f>
        <v>5355000</v>
      </c>
      <c r="Z11" s="692">
        <f>'02 Zostatková hodnota'!$D$18</f>
        <v>5355000</v>
      </c>
      <c r="AA11" s="692">
        <f>'02 Zostatková hodnota'!$D$18</f>
        <v>5355000</v>
      </c>
      <c r="AB11" s="692">
        <v>0</v>
      </c>
      <c r="AC11" s="692">
        <v>0</v>
      </c>
      <c r="AD11" s="692">
        <v>0</v>
      </c>
      <c r="AE11" s="692">
        <v>0</v>
      </c>
      <c r="AF11" s="692">
        <v>0</v>
      </c>
      <c r="AG11" s="704">
        <v>0</v>
      </c>
      <c r="AH11" s="692">
        <f>'02 Zostatková hodnota'!$D$16+'02 Zostatková hodnota'!$D$17+'02 Zostatková hodnota'!$D$15</f>
        <v>15045000</v>
      </c>
      <c r="AI11" s="692">
        <f>'02 Zostatková hodnota'!$D$16+'02 Zostatková hodnota'!$D$17+'02 Zostatková hodnota'!$D$15</f>
        <v>15045000</v>
      </c>
      <c r="AJ11" s="692">
        <f>'02 Zostatková hodnota'!$D$16+'02 Zostatková hodnota'!$D$17+'02 Zostatková hodnota'!$D$15</f>
        <v>15045000</v>
      </c>
      <c r="AK11" s="692">
        <f>'02 Zostatková hodnota'!$D$16+'02 Zostatková hodnota'!$D$17+'02 Zostatková hodnota'!$D$15</f>
        <v>15045000</v>
      </c>
    </row>
    <row r="12" spans="1:39" ht="16.350000000000001" customHeight="1" thickTop="1" thickBot="1" x14ac:dyDescent="0.25">
      <c r="A12" s="705" t="s">
        <v>508</v>
      </c>
      <c r="B12" s="706">
        <f>SUM(C12:AK12)</f>
        <v>81600000</v>
      </c>
      <c r="C12" s="707">
        <f t="shared" ref="C12:AG12" si="2">SUM(C11:C11)</f>
        <v>0</v>
      </c>
      <c r="D12" s="707">
        <f t="shared" si="2"/>
        <v>0</v>
      </c>
      <c r="E12" s="707">
        <f t="shared" si="2"/>
        <v>0</v>
      </c>
      <c r="F12" s="707">
        <f t="shared" si="2"/>
        <v>0</v>
      </c>
      <c r="G12" s="707">
        <f t="shared" si="2"/>
        <v>0</v>
      </c>
      <c r="H12" s="707">
        <f t="shared" si="2"/>
        <v>0</v>
      </c>
      <c r="I12" s="707">
        <f t="shared" si="2"/>
        <v>0</v>
      </c>
      <c r="J12" s="707">
        <f t="shared" si="2"/>
        <v>0</v>
      </c>
      <c r="K12" s="707">
        <f t="shared" si="2"/>
        <v>0</v>
      </c>
      <c r="L12" s="707">
        <f t="shared" si="2"/>
        <v>0</v>
      </c>
      <c r="M12" s="707">
        <f t="shared" si="2"/>
        <v>0</v>
      </c>
      <c r="N12" s="707">
        <f t="shared" si="2"/>
        <v>0</v>
      </c>
      <c r="O12" s="707">
        <f t="shared" si="2"/>
        <v>0</v>
      </c>
      <c r="P12" s="707">
        <f t="shared" si="2"/>
        <v>0</v>
      </c>
      <c r="Q12" s="707">
        <f t="shared" si="2"/>
        <v>0</v>
      </c>
      <c r="R12" s="707">
        <f t="shared" si="2"/>
        <v>0</v>
      </c>
      <c r="S12" s="707">
        <f t="shared" si="2"/>
        <v>0</v>
      </c>
      <c r="T12" s="708">
        <f t="shared" si="2"/>
        <v>0</v>
      </c>
      <c r="U12" s="707">
        <f t="shared" si="2"/>
        <v>0</v>
      </c>
      <c r="V12" s="707">
        <f t="shared" si="2"/>
        <v>0</v>
      </c>
      <c r="W12" s="707">
        <f t="shared" si="2"/>
        <v>0</v>
      </c>
      <c r="X12" s="707">
        <f t="shared" si="2"/>
        <v>5355000</v>
      </c>
      <c r="Y12" s="707">
        <f t="shared" si="2"/>
        <v>5355000</v>
      </c>
      <c r="Z12" s="707">
        <f t="shared" si="2"/>
        <v>5355000</v>
      </c>
      <c r="AA12" s="707">
        <f t="shared" si="2"/>
        <v>5355000</v>
      </c>
      <c r="AB12" s="707">
        <f t="shared" si="2"/>
        <v>0</v>
      </c>
      <c r="AC12" s="707">
        <f t="shared" si="2"/>
        <v>0</v>
      </c>
      <c r="AD12" s="707">
        <f t="shared" si="2"/>
        <v>0</v>
      </c>
      <c r="AE12" s="707">
        <f t="shared" si="2"/>
        <v>0</v>
      </c>
      <c r="AF12" s="707">
        <f t="shared" si="2"/>
        <v>0</v>
      </c>
      <c r="AG12" s="709">
        <f t="shared" si="2"/>
        <v>0</v>
      </c>
      <c r="AH12" s="707">
        <f t="shared" ref="AH12:AK12" si="3">SUM(AH11:AH11)</f>
        <v>15045000</v>
      </c>
      <c r="AI12" s="707">
        <f t="shared" si="3"/>
        <v>15045000</v>
      </c>
      <c r="AJ12" s="709">
        <f t="shared" si="3"/>
        <v>15045000</v>
      </c>
      <c r="AK12" s="707">
        <f t="shared" si="3"/>
        <v>15045000</v>
      </c>
      <c r="AM12" s="710"/>
    </row>
    <row r="13" spans="1:39" ht="12" thickTop="1" x14ac:dyDescent="0.2"/>
    <row r="15" spans="1:39" x14ac:dyDescent="0.2">
      <c r="B15" s="683"/>
    </row>
    <row r="16" spans="1:39" x14ac:dyDescent="0.2">
      <c r="F16" s="489"/>
    </row>
  </sheetData>
  <sheetProtection algorithmName="SHA-512" hashValue="v4LncmW7J3FOu6NKl3fXY1i5JjQw/Vk4CXhyM1v8TNwSqj7QkHq4/MQSSaUPs+2qjI1Ktab8gD5EVwYDyF/gjg==" saltValue="WRrol8IjDzu4HmchdslE5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43" orientation="landscape" r:id="rId1"/>
  <headerFooter>
    <oddHeader>&amp;A</oddHeader>
    <oddFooter>Strana &amp;P z &amp;N</oddFooter>
  </headerFooter>
  <colBreaks count="1" manualBreakCount="1">
    <brk id="15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B2:AL46"/>
  <sheetViews>
    <sheetView zoomScale="90" zoomScaleNormal="90" workbookViewId="0"/>
  </sheetViews>
  <sheetFormatPr defaultColWidth="9.140625" defaultRowHeight="11.25" x14ac:dyDescent="0.2"/>
  <cols>
    <col min="1" max="1" width="2" style="2" customWidth="1"/>
    <col min="2" max="2" width="36.28515625" style="2" customWidth="1"/>
    <col min="3" max="3" width="9.28515625" style="2" bestFit="1" customWidth="1"/>
    <col min="4" max="38" width="8.5703125" style="2" bestFit="1" customWidth="1"/>
    <col min="39" max="44" width="9.140625" style="2" customWidth="1"/>
    <col min="45" max="16384" width="9.140625" style="2"/>
  </cols>
  <sheetData>
    <row r="2" spans="2:38" x14ac:dyDescent="0.2">
      <c r="C2" s="3"/>
      <c r="D2" s="3" t="s">
        <v>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x14ac:dyDescent="0.2">
      <c r="B3" s="4" t="s">
        <v>50</v>
      </c>
      <c r="C3" s="4"/>
      <c r="D3" s="3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3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  <c r="AH3" s="3">
        <v>31</v>
      </c>
      <c r="AI3" s="3">
        <v>32</v>
      </c>
      <c r="AJ3" s="3">
        <v>33</v>
      </c>
      <c r="AK3" s="3">
        <v>34</v>
      </c>
      <c r="AL3" s="3">
        <v>35</v>
      </c>
    </row>
    <row r="4" spans="2:38" x14ac:dyDescent="0.2">
      <c r="B4" s="6" t="s">
        <v>33</v>
      </c>
      <c r="C4" s="6" t="s">
        <v>9</v>
      </c>
      <c r="D4" s="7">
        <f>Parametre!C13</f>
        <v>2025</v>
      </c>
      <c r="E4" s="7">
        <f>$D$4+D3</f>
        <v>2026</v>
      </c>
      <c r="F4" s="7">
        <f>$D$4+E3</f>
        <v>2027</v>
      </c>
      <c r="G4" s="7">
        <f>$D$4+F3</f>
        <v>2028</v>
      </c>
      <c r="H4" s="7">
        <f t="shared" ref="H4:AG4" si="0">$D$4+G3</f>
        <v>2029</v>
      </c>
      <c r="I4" s="7">
        <f t="shared" si="0"/>
        <v>2030</v>
      </c>
      <c r="J4" s="7">
        <f t="shared" si="0"/>
        <v>2031</v>
      </c>
      <c r="K4" s="7">
        <f t="shared" si="0"/>
        <v>2032</v>
      </c>
      <c r="L4" s="7">
        <f t="shared" si="0"/>
        <v>2033</v>
      </c>
      <c r="M4" s="7">
        <f t="shared" si="0"/>
        <v>2034</v>
      </c>
      <c r="N4" s="7">
        <f t="shared" si="0"/>
        <v>2035</v>
      </c>
      <c r="O4" s="7">
        <f t="shared" si="0"/>
        <v>2036</v>
      </c>
      <c r="P4" s="7">
        <f t="shared" si="0"/>
        <v>2037</v>
      </c>
      <c r="Q4" s="7">
        <f t="shared" si="0"/>
        <v>2038</v>
      </c>
      <c r="R4" s="7">
        <f t="shared" si="0"/>
        <v>2039</v>
      </c>
      <c r="S4" s="7">
        <f t="shared" si="0"/>
        <v>2040</v>
      </c>
      <c r="T4" s="7">
        <f t="shared" si="0"/>
        <v>2041</v>
      </c>
      <c r="U4" s="7">
        <f t="shared" si="0"/>
        <v>2042</v>
      </c>
      <c r="V4" s="7">
        <f t="shared" si="0"/>
        <v>2043</v>
      </c>
      <c r="W4" s="7">
        <f t="shared" si="0"/>
        <v>2044</v>
      </c>
      <c r="X4" s="7">
        <f t="shared" si="0"/>
        <v>2045</v>
      </c>
      <c r="Y4" s="7">
        <f t="shared" si="0"/>
        <v>2046</v>
      </c>
      <c r="Z4" s="7">
        <f t="shared" si="0"/>
        <v>2047</v>
      </c>
      <c r="AA4" s="7">
        <f t="shared" si="0"/>
        <v>2048</v>
      </c>
      <c r="AB4" s="7">
        <f t="shared" si="0"/>
        <v>2049</v>
      </c>
      <c r="AC4" s="7">
        <f t="shared" si="0"/>
        <v>2050</v>
      </c>
      <c r="AD4" s="7">
        <f t="shared" si="0"/>
        <v>2051</v>
      </c>
      <c r="AE4" s="7">
        <f t="shared" si="0"/>
        <v>2052</v>
      </c>
      <c r="AF4" s="7">
        <f t="shared" si="0"/>
        <v>2053</v>
      </c>
      <c r="AG4" s="7">
        <f t="shared" si="0"/>
        <v>2054</v>
      </c>
      <c r="AH4" s="7">
        <f t="shared" ref="AH4" si="1">$D$4+AG3</f>
        <v>2055</v>
      </c>
      <c r="AI4" s="7">
        <f t="shared" ref="AI4" si="2">$D$4+AH3</f>
        <v>2056</v>
      </c>
      <c r="AJ4" s="7">
        <f t="shared" ref="AJ4" si="3">$D$4+AI3</f>
        <v>2057</v>
      </c>
      <c r="AK4" s="7">
        <f t="shared" ref="AK4" si="4">$D$4+AJ3</f>
        <v>2058</v>
      </c>
      <c r="AL4" s="7">
        <f t="shared" ref="AL4" si="5">$D$4+AK3</f>
        <v>2059</v>
      </c>
    </row>
    <row r="5" spans="2:38" x14ac:dyDescent="0.2">
      <c r="B5" s="3" t="s">
        <v>274</v>
      </c>
      <c r="C5" s="8">
        <f>SUM(D5:AL5)</f>
        <v>488584787.84754431</v>
      </c>
      <c r="D5" s="9">
        <f>'03 A_Prevádzkové výdavky'!E185</f>
        <v>10804450.148465233</v>
      </c>
      <c r="E5" s="9">
        <f>'03 A_Prevádzkové výdavky'!F185</f>
        <v>10941902.099054523</v>
      </c>
      <c r="F5" s="9">
        <f>'03 A_Prevádzkové výdavky'!G185</f>
        <v>11082036.014324727</v>
      </c>
      <c r="G5" s="9">
        <f>'03 A_Prevádzkové výdavky'!H185</f>
        <v>11224911.342854349</v>
      </c>
      <c r="H5" s="9">
        <f>'03 A_Prevádzkové výdavky'!I185</f>
        <v>11370588.955462676</v>
      </c>
      <c r="I5" s="9">
        <f>'03 A_Prevádzkové výdavky'!J185</f>
        <v>11519131.181146476</v>
      </c>
      <c r="J5" s="9">
        <f>'03 A_Prevádzkové výdavky'!K185</f>
        <v>11670601.843964608</v>
      </c>
      <c r="K5" s="9">
        <f>'03 A_Prevádzkové výdavky'!L185</f>
        <v>11825066.300896466</v>
      </c>
      <c r="L5" s="9">
        <f>'03 A_Prevádzkové výdavky'!M185</f>
        <v>11984363.068158027</v>
      </c>
      <c r="M5" s="9">
        <f>'03 A_Prevádzkové výdavky'!N185</f>
        <v>12152862.210450387</v>
      </c>
      <c r="N5" s="9">
        <f>'03 A_Prevádzkové výdavky'!O185</f>
        <v>12324997.813697191</v>
      </c>
      <c r="O5" s="9">
        <f>'03 A_Prevádzkové výdavky'!P185</f>
        <v>12500861.762976088</v>
      </c>
      <c r="P5" s="9">
        <f>'03 A_Prevádzkové výdavky'!Q185</f>
        <v>12680548.528501358</v>
      </c>
      <c r="Q5" s="9">
        <f>'03 A_Prevádzkové výdavky'!R185</f>
        <v>12864155.244177101</v>
      </c>
      <c r="R5" s="9">
        <f>'03 A_Prevádzkové výdavky'!S185</f>
        <v>13051781.788668156</v>
      </c>
      <c r="S5" s="9">
        <f>'03 A_Prevádzkové výdavky'!T185</f>
        <v>13243530.869072307</v>
      </c>
      <c r="T5" s="9">
        <f>'03 A_Prevádzkové výdavky'!U185</f>
        <v>13439508.107280217</v>
      </c>
      <c r="U5" s="9">
        <f>'03 A_Prevádzkové výdavky'!V185</f>
        <v>13641847.744451398</v>
      </c>
      <c r="V5" s="9">
        <f>'03 A_Prevádzkové výdavky'!W185</f>
        <v>13856923.44915133</v>
      </c>
      <c r="W5" s="9">
        <f>'03 A_Prevádzkové výdavky'!X185</f>
        <v>14077251.592047991</v>
      </c>
      <c r="X5" s="9">
        <f>'03 A_Prevádzkové výdavky'!Y185</f>
        <v>14302987.008164365</v>
      </c>
      <c r="Y5" s="9">
        <f>'03 A_Prevádzkové výdavky'!Z185</f>
        <v>14534289.708871398</v>
      </c>
      <c r="Z5" s="9">
        <f>'03 A_Prevádzkové výdavky'!AA185</f>
        <v>14771325.069336342</v>
      </c>
      <c r="AA5" s="9">
        <f>'03 A_Prevádzkové výdavky'!AB185</f>
        <v>15014264.023083569</v>
      </c>
      <c r="AB5" s="9">
        <f>'03 A_Prevádzkové výdavky'!AC185</f>
        <v>15263283.263944656</v>
      </c>
      <c r="AC5" s="9">
        <f>'03 A_Prevádzkové výdavky'!AD185</f>
        <v>15518565.455685534</v>
      </c>
      <c r="AD5" s="9">
        <f>'03 A_Prevádzkové výdavky'!AE185</f>
        <v>15782720.247448454</v>
      </c>
      <c r="AE5" s="9">
        <f>'03 A_Prevádzkové výdavky'!AF185</f>
        <v>16065325.919252342</v>
      </c>
      <c r="AF5" s="9">
        <f>'03 A_Prevádzkové výdavky'!AG185</f>
        <v>16355887.262815857</v>
      </c>
      <c r="AG5" s="9">
        <f>'03 A_Prevádzkové výdavky'!AH185</f>
        <v>16654680.330261022</v>
      </c>
      <c r="AH5" s="9">
        <f>'03 A_Prevádzkové výdavky'!AI185</f>
        <v>16961992.036150903</v>
      </c>
      <c r="AI5" s="9">
        <f>'03 A_Prevádzkové výdavky'!AJ185</f>
        <v>17278120.615252595</v>
      </c>
      <c r="AJ5" s="9">
        <f>'03 A_Prevádzkové výdavky'!AK185</f>
        <v>17603376.100267626</v>
      </c>
      <c r="AK5" s="9">
        <f>'03 A_Prevádzkové výdavky'!AL185</f>
        <v>17938080.820415251</v>
      </c>
      <c r="AL5" s="9">
        <f>'03 A_Prevádzkové výdavky'!AM185</f>
        <v>18282569.921793703</v>
      </c>
    </row>
    <row r="6" spans="2:38" x14ac:dyDescent="0.2">
      <c r="B6" s="3" t="s">
        <v>272</v>
      </c>
      <c r="C6" s="8">
        <f t="shared" ref="C6:C10" si="6">SUM(D6:AL6)</f>
        <v>45900000</v>
      </c>
      <c r="D6" s="9">
        <f>'03 A_Prevádzkové výdavky'!E193</f>
        <v>0</v>
      </c>
      <c r="E6" s="9">
        <f>'03 A_Prevádzkové výdavky'!F193</f>
        <v>0</v>
      </c>
      <c r="F6" s="9">
        <f>'03 A_Prevádzkové výdavky'!G193</f>
        <v>0</v>
      </c>
      <c r="G6" s="9">
        <f>'03 A_Prevádzkové výdavky'!H193</f>
        <v>0</v>
      </c>
      <c r="H6" s="9">
        <f>'03 A_Prevádzkové výdavky'!I193</f>
        <v>0</v>
      </c>
      <c r="I6" s="9">
        <f>'03 A_Prevádzkové výdavky'!J193</f>
        <v>0</v>
      </c>
      <c r="J6" s="9">
        <f>'03 A_Prevádzkové výdavky'!K193</f>
        <v>0</v>
      </c>
      <c r="K6" s="9">
        <f>'03 A_Prevádzkové výdavky'!L193</f>
        <v>0</v>
      </c>
      <c r="L6" s="9">
        <f>'03 A_Prevádzkové výdavky'!M193</f>
        <v>0</v>
      </c>
      <c r="M6" s="9">
        <f>'03 A_Prevádzkové výdavky'!N193</f>
        <v>2550000</v>
      </c>
      <c r="N6" s="9">
        <f>'03 A_Prevádzkové výdavky'!O193</f>
        <v>2550000</v>
      </c>
      <c r="O6" s="9">
        <f>'03 A_Prevádzkové výdavky'!P193</f>
        <v>2550000</v>
      </c>
      <c r="P6" s="9">
        <f>'03 A_Prevádzkové výdavky'!Q193</f>
        <v>2550000</v>
      </c>
      <c r="Q6" s="9">
        <f>'03 A_Prevádzkové výdavky'!R193</f>
        <v>0</v>
      </c>
      <c r="R6" s="9">
        <f>'03 A_Prevádzkové výdavky'!S193</f>
        <v>0</v>
      </c>
      <c r="S6" s="9">
        <f>'03 A_Prevádzkové výdavky'!T193</f>
        <v>0</v>
      </c>
      <c r="T6" s="9">
        <f>'03 A_Prevádzkové výdavky'!U193</f>
        <v>0</v>
      </c>
      <c r="U6" s="9">
        <f>'03 A_Prevádzkové výdavky'!V193</f>
        <v>0</v>
      </c>
      <c r="V6" s="9">
        <f>'03 A_Prevádzkové výdavky'!W193</f>
        <v>0</v>
      </c>
      <c r="W6" s="9">
        <f>'03 A_Prevádzkové výdavky'!X193</f>
        <v>6375000</v>
      </c>
      <c r="X6" s="9">
        <f>'03 A_Prevádzkové výdavky'!Y193</f>
        <v>6375000</v>
      </c>
      <c r="Y6" s="9">
        <f>'03 A_Prevádzkové výdavky'!Z193</f>
        <v>6375000</v>
      </c>
      <c r="Z6" s="9">
        <f>'03 A_Prevádzkové výdavky'!AA193</f>
        <v>6375000</v>
      </c>
      <c r="AA6" s="9">
        <f>'03 A_Prevádzkové výdavky'!AB193</f>
        <v>0</v>
      </c>
      <c r="AB6" s="9">
        <f>'03 A_Prevádzkové výdavky'!AC193</f>
        <v>0</v>
      </c>
      <c r="AC6" s="9">
        <f>'03 A_Prevádzkové výdavky'!AD193</f>
        <v>0</v>
      </c>
      <c r="AD6" s="9">
        <f>'03 A_Prevádzkové výdavky'!AE193</f>
        <v>0</v>
      </c>
      <c r="AE6" s="9">
        <f>'03 A_Prevádzkové výdavky'!AF193</f>
        <v>0</v>
      </c>
      <c r="AF6" s="9">
        <f>'03 A_Prevádzkové výdavky'!AG193</f>
        <v>0</v>
      </c>
      <c r="AG6" s="9">
        <f>'03 A_Prevádzkové výdavky'!AH193</f>
        <v>2550000</v>
      </c>
      <c r="AH6" s="9">
        <f>'03 A_Prevádzkové výdavky'!AI193</f>
        <v>2550000</v>
      </c>
      <c r="AI6" s="9">
        <f>'03 A_Prevádzkové výdavky'!AJ193</f>
        <v>2550000</v>
      </c>
      <c r="AJ6" s="9">
        <f>'03 A_Prevádzkové výdavky'!AK193</f>
        <v>2550000</v>
      </c>
      <c r="AK6" s="9">
        <f>'03 A_Prevádzkové výdavky'!AL193</f>
        <v>0</v>
      </c>
      <c r="AL6" s="9">
        <f>'03 A_Prevádzkové výdavky'!AM193</f>
        <v>0</v>
      </c>
    </row>
    <row r="7" spans="2:38" x14ac:dyDescent="0.2">
      <c r="B7" s="4" t="s">
        <v>271</v>
      </c>
      <c r="C7" s="13">
        <f t="shared" si="6"/>
        <v>534484787.84754431</v>
      </c>
      <c r="D7" s="13">
        <f t="shared" ref="D7:AG7" si="7">SUM(D5:D6)</f>
        <v>10804450.148465233</v>
      </c>
      <c r="E7" s="13">
        <f t="shared" si="7"/>
        <v>10941902.099054523</v>
      </c>
      <c r="F7" s="13">
        <f t="shared" si="7"/>
        <v>11082036.014324727</v>
      </c>
      <c r="G7" s="13">
        <f t="shared" si="7"/>
        <v>11224911.342854349</v>
      </c>
      <c r="H7" s="13">
        <f t="shared" si="7"/>
        <v>11370588.955462676</v>
      </c>
      <c r="I7" s="13">
        <f t="shared" si="7"/>
        <v>11519131.181146476</v>
      </c>
      <c r="J7" s="13">
        <f t="shared" si="7"/>
        <v>11670601.843964608</v>
      </c>
      <c r="K7" s="13">
        <f t="shared" si="7"/>
        <v>11825066.300896466</v>
      </c>
      <c r="L7" s="13">
        <f t="shared" si="7"/>
        <v>11984363.068158027</v>
      </c>
      <c r="M7" s="13">
        <f t="shared" si="7"/>
        <v>14702862.210450387</v>
      </c>
      <c r="N7" s="13">
        <f t="shared" si="7"/>
        <v>14874997.813697191</v>
      </c>
      <c r="O7" s="13">
        <f t="shared" si="7"/>
        <v>15050861.762976088</v>
      </c>
      <c r="P7" s="13">
        <f t="shared" si="7"/>
        <v>15230548.528501358</v>
      </c>
      <c r="Q7" s="13">
        <f t="shared" si="7"/>
        <v>12864155.244177101</v>
      </c>
      <c r="R7" s="13">
        <f t="shared" si="7"/>
        <v>13051781.788668156</v>
      </c>
      <c r="S7" s="13">
        <f t="shared" si="7"/>
        <v>13243530.869072307</v>
      </c>
      <c r="T7" s="13">
        <f t="shared" si="7"/>
        <v>13439508.107280217</v>
      </c>
      <c r="U7" s="13">
        <f t="shared" si="7"/>
        <v>13641847.744451398</v>
      </c>
      <c r="V7" s="13">
        <f t="shared" si="7"/>
        <v>13856923.44915133</v>
      </c>
      <c r="W7" s="13">
        <f t="shared" si="7"/>
        <v>20452251.592047989</v>
      </c>
      <c r="X7" s="13">
        <f t="shared" si="7"/>
        <v>20677987.008164365</v>
      </c>
      <c r="Y7" s="13">
        <f t="shared" si="7"/>
        <v>20909289.708871398</v>
      </c>
      <c r="Z7" s="13">
        <f t="shared" si="7"/>
        <v>21146325.06933634</v>
      </c>
      <c r="AA7" s="13">
        <f t="shared" si="7"/>
        <v>15014264.023083569</v>
      </c>
      <c r="AB7" s="13">
        <f t="shared" si="7"/>
        <v>15263283.263944656</v>
      </c>
      <c r="AC7" s="13">
        <f t="shared" si="7"/>
        <v>15518565.455685534</v>
      </c>
      <c r="AD7" s="13">
        <f t="shared" si="7"/>
        <v>15782720.247448454</v>
      </c>
      <c r="AE7" s="13">
        <f t="shared" si="7"/>
        <v>16065325.919252342</v>
      </c>
      <c r="AF7" s="13">
        <f t="shared" si="7"/>
        <v>16355887.262815857</v>
      </c>
      <c r="AG7" s="13">
        <f t="shared" si="7"/>
        <v>19204680.330261022</v>
      </c>
      <c r="AH7" s="13">
        <f t="shared" ref="AH7:AL7" si="8">SUM(AH5:AH6)</f>
        <v>19511992.036150903</v>
      </c>
      <c r="AI7" s="13">
        <f t="shared" si="8"/>
        <v>19828120.615252595</v>
      </c>
      <c r="AJ7" s="13">
        <f t="shared" si="8"/>
        <v>20153376.100267626</v>
      </c>
      <c r="AK7" s="13">
        <f t="shared" si="8"/>
        <v>17938080.820415251</v>
      </c>
      <c r="AL7" s="13">
        <f t="shared" si="8"/>
        <v>18282569.921793703</v>
      </c>
    </row>
    <row r="8" spans="2:38" x14ac:dyDescent="0.2">
      <c r="B8" s="3" t="s">
        <v>54</v>
      </c>
      <c r="C8" s="8">
        <f t="shared" si="6"/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</row>
    <row r="9" spans="2:38" ht="12" thickBot="1" x14ac:dyDescent="0.25">
      <c r="B9" s="20" t="s">
        <v>52</v>
      </c>
      <c r="C9" s="13">
        <f t="shared" si="6"/>
        <v>0</v>
      </c>
      <c r="D9" s="21">
        <f t="shared" ref="D9:AG9" si="9">SUM(D8:D8)</f>
        <v>0</v>
      </c>
      <c r="E9" s="21">
        <f t="shared" si="9"/>
        <v>0</v>
      </c>
      <c r="F9" s="21">
        <f t="shared" si="9"/>
        <v>0</v>
      </c>
      <c r="G9" s="21">
        <f t="shared" si="9"/>
        <v>0</v>
      </c>
      <c r="H9" s="21">
        <f t="shared" si="9"/>
        <v>0</v>
      </c>
      <c r="I9" s="21">
        <f t="shared" si="9"/>
        <v>0</v>
      </c>
      <c r="J9" s="21">
        <f t="shared" si="9"/>
        <v>0</v>
      </c>
      <c r="K9" s="21">
        <f t="shared" si="9"/>
        <v>0</v>
      </c>
      <c r="L9" s="21">
        <f t="shared" si="9"/>
        <v>0</v>
      </c>
      <c r="M9" s="21">
        <f t="shared" si="9"/>
        <v>0</v>
      </c>
      <c r="N9" s="21">
        <f t="shared" si="9"/>
        <v>0</v>
      </c>
      <c r="O9" s="21">
        <f t="shared" si="9"/>
        <v>0</v>
      </c>
      <c r="P9" s="21">
        <f t="shared" si="9"/>
        <v>0</v>
      </c>
      <c r="Q9" s="21">
        <f t="shared" si="9"/>
        <v>0</v>
      </c>
      <c r="R9" s="21">
        <f t="shared" si="9"/>
        <v>0</v>
      </c>
      <c r="S9" s="21">
        <f t="shared" si="9"/>
        <v>0</v>
      </c>
      <c r="T9" s="21">
        <f t="shared" si="9"/>
        <v>0</v>
      </c>
      <c r="U9" s="21">
        <f t="shared" si="9"/>
        <v>0</v>
      </c>
      <c r="V9" s="21">
        <f t="shared" si="9"/>
        <v>0</v>
      </c>
      <c r="W9" s="21">
        <f t="shared" si="9"/>
        <v>0</v>
      </c>
      <c r="X9" s="21">
        <f t="shared" si="9"/>
        <v>0</v>
      </c>
      <c r="Y9" s="21">
        <f t="shared" si="9"/>
        <v>0</v>
      </c>
      <c r="Z9" s="21">
        <f t="shared" si="9"/>
        <v>0</v>
      </c>
      <c r="AA9" s="21">
        <f t="shared" si="9"/>
        <v>0</v>
      </c>
      <c r="AB9" s="21">
        <f t="shared" si="9"/>
        <v>0</v>
      </c>
      <c r="AC9" s="21">
        <f t="shared" si="9"/>
        <v>0</v>
      </c>
      <c r="AD9" s="21">
        <f t="shared" si="9"/>
        <v>0</v>
      </c>
      <c r="AE9" s="21">
        <f t="shared" si="9"/>
        <v>0</v>
      </c>
      <c r="AF9" s="21">
        <f t="shared" si="9"/>
        <v>0</v>
      </c>
      <c r="AG9" s="21">
        <f t="shared" si="9"/>
        <v>0</v>
      </c>
      <c r="AH9" s="21">
        <f t="shared" ref="AH9:AL9" si="10">SUM(AH8:AH8)</f>
        <v>0</v>
      </c>
      <c r="AI9" s="21">
        <f t="shared" si="10"/>
        <v>0</v>
      </c>
      <c r="AJ9" s="21">
        <f t="shared" si="10"/>
        <v>0</v>
      </c>
      <c r="AK9" s="21">
        <f t="shared" si="10"/>
        <v>0</v>
      </c>
      <c r="AL9" s="21">
        <f t="shared" si="10"/>
        <v>0</v>
      </c>
    </row>
    <row r="10" spans="2:38" ht="12" thickTop="1" x14ac:dyDescent="0.2">
      <c r="B10" s="22" t="s">
        <v>51</v>
      </c>
      <c r="C10" s="13">
        <f t="shared" si="6"/>
        <v>534484787.84754431</v>
      </c>
      <c r="D10" s="23">
        <f t="shared" ref="D10:AG10" si="11">SUM(D7,D9)</f>
        <v>10804450.148465233</v>
      </c>
      <c r="E10" s="23">
        <f t="shared" si="11"/>
        <v>10941902.099054523</v>
      </c>
      <c r="F10" s="23">
        <f t="shared" si="11"/>
        <v>11082036.014324727</v>
      </c>
      <c r="G10" s="23">
        <f t="shared" si="11"/>
        <v>11224911.342854349</v>
      </c>
      <c r="H10" s="23">
        <f t="shared" si="11"/>
        <v>11370588.955462676</v>
      </c>
      <c r="I10" s="23">
        <f t="shared" si="11"/>
        <v>11519131.181146476</v>
      </c>
      <c r="J10" s="23">
        <f t="shared" si="11"/>
        <v>11670601.843964608</v>
      </c>
      <c r="K10" s="23">
        <f t="shared" si="11"/>
        <v>11825066.300896466</v>
      </c>
      <c r="L10" s="23">
        <f t="shared" si="11"/>
        <v>11984363.068158027</v>
      </c>
      <c r="M10" s="23">
        <f t="shared" si="11"/>
        <v>14702862.210450387</v>
      </c>
      <c r="N10" s="23">
        <f t="shared" si="11"/>
        <v>14874997.813697191</v>
      </c>
      <c r="O10" s="23">
        <f t="shared" si="11"/>
        <v>15050861.762976088</v>
      </c>
      <c r="P10" s="23">
        <f t="shared" si="11"/>
        <v>15230548.528501358</v>
      </c>
      <c r="Q10" s="23">
        <f t="shared" si="11"/>
        <v>12864155.244177101</v>
      </c>
      <c r="R10" s="23">
        <f t="shared" si="11"/>
        <v>13051781.788668156</v>
      </c>
      <c r="S10" s="23">
        <f t="shared" si="11"/>
        <v>13243530.869072307</v>
      </c>
      <c r="T10" s="23">
        <f t="shared" si="11"/>
        <v>13439508.107280217</v>
      </c>
      <c r="U10" s="23">
        <f t="shared" si="11"/>
        <v>13641847.744451398</v>
      </c>
      <c r="V10" s="23">
        <f t="shared" si="11"/>
        <v>13856923.44915133</v>
      </c>
      <c r="W10" s="23">
        <f t="shared" si="11"/>
        <v>20452251.592047989</v>
      </c>
      <c r="X10" s="23">
        <f t="shared" si="11"/>
        <v>20677987.008164365</v>
      </c>
      <c r="Y10" s="23">
        <f t="shared" si="11"/>
        <v>20909289.708871398</v>
      </c>
      <c r="Z10" s="23">
        <f t="shared" si="11"/>
        <v>21146325.06933634</v>
      </c>
      <c r="AA10" s="23">
        <f t="shared" si="11"/>
        <v>15014264.023083569</v>
      </c>
      <c r="AB10" s="23">
        <f t="shared" si="11"/>
        <v>15263283.263944656</v>
      </c>
      <c r="AC10" s="23">
        <f t="shared" si="11"/>
        <v>15518565.455685534</v>
      </c>
      <c r="AD10" s="23">
        <f t="shared" si="11"/>
        <v>15782720.247448454</v>
      </c>
      <c r="AE10" s="23">
        <f t="shared" si="11"/>
        <v>16065325.919252342</v>
      </c>
      <c r="AF10" s="23">
        <f t="shared" si="11"/>
        <v>16355887.262815857</v>
      </c>
      <c r="AG10" s="23">
        <f t="shared" si="11"/>
        <v>19204680.330261022</v>
      </c>
      <c r="AH10" s="23">
        <f t="shared" ref="AH10:AL10" si="12">SUM(AH7,AH9)</f>
        <v>19511992.036150903</v>
      </c>
      <c r="AI10" s="23">
        <f t="shared" si="12"/>
        <v>19828120.615252595</v>
      </c>
      <c r="AJ10" s="23">
        <f t="shared" si="12"/>
        <v>20153376.100267626</v>
      </c>
      <c r="AK10" s="23">
        <f t="shared" si="12"/>
        <v>17938080.820415251</v>
      </c>
      <c r="AL10" s="23">
        <f t="shared" si="12"/>
        <v>18282569.921793703</v>
      </c>
    </row>
    <row r="13" spans="2:38" x14ac:dyDescent="0.2">
      <c r="C13" s="3"/>
      <c r="D13" s="3" t="s">
        <v>10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2:38" x14ac:dyDescent="0.2">
      <c r="B14" s="4" t="s">
        <v>55</v>
      </c>
      <c r="C14" s="4"/>
      <c r="D14" s="5">
        <v>1</v>
      </c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5">
        <v>12</v>
      </c>
      <c r="P14" s="5">
        <v>13</v>
      </c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  <c r="X14" s="5">
        <v>21</v>
      </c>
      <c r="Y14" s="5">
        <v>22</v>
      </c>
      <c r="Z14" s="5">
        <v>23</v>
      </c>
      <c r="AA14" s="5">
        <v>24</v>
      </c>
      <c r="AB14" s="5">
        <v>25</v>
      </c>
      <c r="AC14" s="5">
        <v>26</v>
      </c>
      <c r="AD14" s="5">
        <v>27</v>
      </c>
      <c r="AE14" s="5">
        <v>28</v>
      </c>
      <c r="AF14" s="5">
        <v>29</v>
      </c>
      <c r="AG14" s="5">
        <v>30</v>
      </c>
      <c r="AH14" s="5">
        <v>31</v>
      </c>
      <c r="AI14" s="5">
        <v>32</v>
      </c>
      <c r="AJ14" s="5">
        <v>33</v>
      </c>
      <c r="AK14" s="5">
        <v>34</v>
      </c>
      <c r="AL14" s="5">
        <v>35</v>
      </c>
    </row>
    <row r="15" spans="2:38" x14ac:dyDescent="0.2">
      <c r="B15" s="6" t="s">
        <v>34</v>
      </c>
      <c r="C15" s="6" t="s">
        <v>9</v>
      </c>
      <c r="D15" s="7">
        <f>D4</f>
        <v>2025</v>
      </c>
      <c r="E15" s="7">
        <f>$D$4+D14</f>
        <v>2026</v>
      </c>
      <c r="F15" s="7">
        <f>$D$4+E14</f>
        <v>2027</v>
      </c>
      <c r="G15" s="7">
        <f>$D$4+F14</f>
        <v>2028</v>
      </c>
      <c r="H15" s="7">
        <f t="shared" ref="H15:AG15" si="13">$D$4+G14</f>
        <v>2029</v>
      </c>
      <c r="I15" s="7">
        <f t="shared" si="13"/>
        <v>2030</v>
      </c>
      <c r="J15" s="7">
        <f t="shared" si="13"/>
        <v>2031</v>
      </c>
      <c r="K15" s="7">
        <f t="shared" si="13"/>
        <v>2032</v>
      </c>
      <c r="L15" s="7">
        <f t="shared" si="13"/>
        <v>2033</v>
      </c>
      <c r="M15" s="7">
        <f t="shared" si="13"/>
        <v>2034</v>
      </c>
      <c r="N15" s="7">
        <f t="shared" si="13"/>
        <v>2035</v>
      </c>
      <c r="O15" s="7">
        <f t="shared" si="13"/>
        <v>2036</v>
      </c>
      <c r="P15" s="7">
        <f t="shared" si="13"/>
        <v>2037</v>
      </c>
      <c r="Q15" s="7">
        <f t="shared" si="13"/>
        <v>2038</v>
      </c>
      <c r="R15" s="7">
        <f t="shared" si="13"/>
        <v>2039</v>
      </c>
      <c r="S15" s="7">
        <f t="shared" si="13"/>
        <v>2040</v>
      </c>
      <c r="T15" s="7">
        <f t="shared" si="13"/>
        <v>2041</v>
      </c>
      <c r="U15" s="7">
        <f t="shared" si="13"/>
        <v>2042</v>
      </c>
      <c r="V15" s="7">
        <f t="shared" si="13"/>
        <v>2043</v>
      </c>
      <c r="W15" s="7">
        <f t="shared" si="13"/>
        <v>2044</v>
      </c>
      <c r="X15" s="7">
        <f t="shared" si="13"/>
        <v>2045</v>
      </c>
      <c r="Y15" s="7">
        <f t="shared" si="13"/>
        <v>2046</v>
      </c>
      <c r="Z15" s="7">
        <f t="shared" si="13"/>
        <v>2047</v>
      </c>
      <c r="AA15" s="7">
        <f t="shared" si="13"/>
        <v>2048</v>
      </c>
      <c r="AB15" s="7">
        <f t="shared" si="13"/>
        <v>2049</v>
      </c>
      <c r="AC15" s="7">
        <f t="shared" si="13"/>
        <v>2050</v>
      </c>
      <c r="AD15" s="7">
        <f t="shared" si="13"/>
        <v>2051</v>
      </c>
      <c r="AE15" s="7">
        <f t="shared" si="13"/>
        <v>2052</v>
      </c>
      <c r="AF15" s="7">
        <f t="shared" si="13"/>
        <v>2053</v>
      </c>
      <c r="AG15" s="7">
        <f t="shared" si="13"/>
        <v>2054</v>
      </c>
      <c r="AH15" s="7">
        <f t="shared" ref="AH15" si="14">$D$4+AG14</f>
        <v>2055</v>
      </c>
      <c r="AI15" s="7">
        <f t="shared" ref="AI15" si="15">$D$4+AH14</f>
        <v>2056</v>
      </c>
      <c r="AJ15" s="7">
        <f t="shared" ref="AJ15" si="16">$D$4+AI14</f>
        <v>2057</v>
      </c>
      <c r="AK15" s="7">
        <f t="shared" ref="AK15" si="17">$D$4+AJ14</f>
        <v>2058</v>
      </c>
      <c r="AL15" s="7">
        <f t="shared" ref="AL15" si="18">$D$4+AK14</f>
        <v>2059</v>
      </c>
    </row>
    <row r="16" spans="2:38" x14ac:dyDescent="0.2">
      <c r="B16" s="3" t="s">
        <v>274</v>
      </c>
      <c r="C16" s="8">
        <f>SUM(D16:AL16)</f>
        <v>523873634.26319414</v>
      </c>
      <c r="D16" s="9">
        <f>'03 A_Prevádzkové výdavky'!E187</f>
        <v>10804450.148465233</v>
      </c>
      <c r="E16" s="9">
        <f>'03 A_Prevádzkové výdavky'!F187</f>
        <v>10941902.099054523</v>
      </c>
      <c r="F16" s="9">
        <f>'03 A_Prevádzkové výdavky'!G187</f>
        <v>11082036.014324727</v>
      </c>
      <c r="G16" s="9">
        <f>'03 A_Prevádzkové výdavky'!H187</f>
        <v>12173773.832425959</v>
      </c>
      <c r="H16" s="9">
        <f>'03 A_Prevádzkové výdavky'!I187</f>
        <v>12329783.098804396</v>
      </c>
      <c r="I16" s="9">
        <f>'03 A_Prevádzkové výdavky'!J187</f>
        <v>12488564.834810406</v>
      </c>
      <c r="J16" s="9">
        <f>'03 A_Prevádzkové výdavky'!K187</f>
        <v>12650171.188403958</v>
      </c>
      <c r="K16" s="9">
        <f>'03 A_Prevádzkové výdavky'!L187</f>
        <v>12814655.313426659</v>
      </c>
      <c r="L16" s="9">
        <f>'03 A_Prevádzkové výdavky'!M187</f>
        <v>12982071.389253855</v>
      </c>
      <c r="M16" s="9">
        <f>'03 A_Prevádzkové výdavky'!N187</f>
        <v>13164000.71467348</v>
      </c>
      <c r="N16" s="9">
        <f>'03 A_Prevádzkové výdavky'!O187</f>
        <v>13349549.81049186</v>
      </c>
      <c r="O16" s="9">
        <f>'03 A_Prevádzkové výdavky'!P187</f>
        <v>13538797.954045394</v>
      </c>
      <c r="P16" s="9">
        <f>'03 A_Prevádzkové výdavky'!Q187</f>
        <v>13731826.279953184</v>
      </c>
      <c r="Q16" s="9">
        <f>'03 A_Prevádzkové výdavky'!R187</f>
        <v>13928717.826101396</v>
      </c>
      <c r="R16" s="9">
        <f>'03 A_Prevádzkové výdavky'!S187</f>
        <v>14129557.580820808</v>
      </c>
      <c r="S16" s="9">
        <f>'03 A_Prevádzkové výdavky'!T187</f>
        <v>14334432.531289613</v>
      </c>
      <c r="T16" s="9">
        <f>'03 A_Prevádzkové výdavky'!U187</f>
        <v>14543431.713194618</v>
      </c>
      <c r="U16" s="9">
        <f>'03 A_Prevádzkové výdavky'!V187</f>
        <v>14756646.261684811</v>
      </c>
      <c r="V16" s="9">
        <f>'03 A_Prevádzkové výdavky'!W187</f>
        <v>14981688.919682769</v>
      </c>
      <c r="W16" s="9">
        <f>'03 A_Prevádzkové výdavky'!X187</f>
        <v>15211624.488079058</v>
      </c>
      <c r="X16" s="9">
        <f>'03 A_Prevádzkové výdavky'!Y187</f>
        <v>15446574.593856962</v>
      </c>
      <c r="Y16" s="9">
        <f>'03 A_Prevádzkové výdavky'!Z187</f>
        <v>15686664.219538139</v>
      </c>
      <c r="Z16" s="9">
        <f>'03 A_Prevádzkové výdavky'!AA187</f>
        <v>15932021.803584481</v>
      </c>
      <c r="AA16" s="9">
        <f>'03 A_Prevádzkové výdavky'!AB187</f>
        <v>16182779.343985364</v>
      </c>
      <c r="AB16" s="9">
        <f>'03 A_Prevádzkové výdavky'!AC187</f>
        <v>16439072.505135296</v>
      </c>
      <c r="AC16" s="9">
        <f>'03 A_Prevádzkové výdavky'!AD187</f>
        <v>16701040.728110589</v>
      </c>
      <c r="AD16" s="9">
        <f>'03 A_Prevádzkové výdavky'!AE187</f>
        <v>16968827.344457369</v>
      </c>
      <c r="AE16" s="9">
        <f>'03 A_Prevádzkové výdavky'!AF187</f>
        <v>17252827.940329</v>
      </c>
      <c r="AF16" s="9">
        <f>'03 A_Prevádzkové výdavky'!AG187</f>
        <v>17543714.355987202</v>
      </c>
      <c r="AG16" s="9">
        <f>'03 A_Prevádzkové výdavky'!AH187</f>
        <v>17841685.612836517</v>
      </c>
      <c r="AH16" s="9">
        <f>'03 A_Prevádzkové výdavky'!AI187</f>
        <v>18146947.286745626</v>
      </c>
      <c r="AI16" s="9">
        <f>'03 A_Prevádzkové výdavky'!AJ187</f>
        <v>18459711.743446782</v>
      </c>
      <c r="AJ16" s="9">
        <f>'03 A_Prevádzkové výdavky'!AK187</f>
        <v>18780198.382832401</v>
      </c>
      <c r="AK16" s="9">
        <f>'03 A_Prevádzkové výdavky'!AL187</f>
        <v>19108633.892494615</v>
      </c>
      <c r="AL16" s="9">
        <f>'03 A_Prevádzkové výdavky'!AM187</f>
        <v>19445252.510867044</v>
      </c>
    </row>
    <row r="17" spans="2:38" x14ac:dyDescent="0.2">
      <c r="B17" s="3" t="s">
        <v>272</v>
      </c>
      <c r="C17" s="8">
        <f t="shared" ref="C17:C21" si="19">SUM(D17:AL17)</f>
        <v>81600000</v>
      </c>
      <c r="D17" s="9">
        <f>'03 A_Prevádzkové výdavky'!E195</f>
        <v>0</v>
      </c>
      <c r="E17" s="9">
        <f>'03 A_Prevádzkové výdavky'!F195</f>
        <v>0</v>
      </c>
      <c r="F17" s="9">
        <f>'03 A_Prevádzkové výdavky'!G195</f>
        <v>0</v>
      </c>
      <c r="G17" s="9">
        <f>'03 A_Prevádzkové výdavky'!H195</f>
        <v>0</v>
      </c>
      <c r="H17" s="9">
        <f>'03 A_Prevádzkové výdavky'!I195</f>
        <v>0</v>
      </c>
      <c r="I17" s="9">
        <f>'03 A_Prevádzkové výdavky'!J195</f>
        <v>0</v>
      </c>
      <c r="J17" s="9">
        <f>'03 A_Prevádzkové výdavky'!K195</f>
        <v>0</v>
      </c>
      <c r="K17" s="9">
        <f>'03 A_Prevádzkové výdavky'!L195</f>
        <v>0</v>
      </c>
      <c r="L17" s="9">
        <f>'03 A_Prevádzkové výdavky'!M195</f>
        <v>0</v>
      </c>
      <c r="M17" s="9">
        <f>'03 A_Prevádzkové výdavky'!N195</f>
        <v>0</v>
      </c>
      <c r="N17" s="9">
        <f>'03 A_Prevádzkové výdavky'!O195</f>
        <v>0</v>
      </c>
      <c r="O17" s="9">
        <f>'03 A_Prevádzkové výdavky'!P195</f>
        <v>0</v>
      </c>
      <c r="P17" s="9">
        <f>'03 A_Prevádzkové výdavky'!Q195</f>
        <v>0</v>
      </c>
      <c r="Q17" s="9">
        <f>'03 A_Prevádzkové výdavky'!R195</f>
        <v>0</v>
      </c>
      <c r="R17" s="9">
        <f>'03 A_Prevádzkové výdavky'!S195</f>
        <v>0</v>
      </c>
      <c r="S17" s="9">
        <f>'03 A_Prevádzkové výdavky'!T195</f>
        <v>0</v>
      </c>
      <c r="T17" s="9">
        <f>'03 A_Prevádzkové výdavky'!U195</f>
        <v>0</v>
      </c>
      <c r="U17" s="9">
        <f>'03 A_Prevádzkové výdavky'!V195</f>
        <v>0</v>
      </c>
      <c r="V17" s="9">
        <f>'03 A_Prevádzkové výdavky'!W195</f>
        <v>0</v>
      </c>
      <c r="W17" s="9">
        <f>'03 A_Prevádzkové výdavky'!X195</f>
        <v>0</v>
      </c>
      <c r="X17" s="9">
        <f>'03 A_Prevádzkové výdavky'!Y195</f>
        <v>0</v>
      </c>
      <c r="Y17" s="9">
        <f>'03 A_Prevádzkové výdavky'!Z195</f>
        <v>5355000</v>
      </c>
      <c r="Z17" s="9">
        <f>'03 A_Prevádzkové výdavky'!AA195</f>
        <v>5355000</v>
      </c>
      <c r="AA17" s="9">
        <f>'03 A_Prevádzkové výdavky'!AB195</f>
        <v>5355000</v>
      </c>
      <c r="AB17" s="9">
        <f>'03 A_Prevádzkové výdavky'!AC195</f>
        <v>5355000</v>
      </c>
      <c r="AC17" s="9">
        <f>'03 A_Prevádzkové výdavky'!AD195</f>
        <v>0</v>
      </c>
      <c r="AD17" s="9">
        <f>'03 A_Prevádzkové výdavky'!AE195</f>
        <v>0</v>
      </c>
      <c r="AE17" s="9">
        <f>'03 A_Prevádzkové výdavky'!AF195</f>
        <v>0</v>
      </c>
      <c r="AF17" s="9">
        <f>'03 A_Prevádzkové výdavky'!AG195</f>
        <v>0</v>
      </c>
      <c r="AG17" s="9">
        <f>'03 A_Prevádzkové výdavky'!AH195</f>
        <v>0</v>
      </c>
      <c r="AH17" s="9">
        <f>'03 A_Prevádzkové výdavky'!AI195</f>
        <v>0</v>
      </c>
      <c r="AI17" s="9">
        <f>'03 A_Prevádzkové výdavky'!AJ195</f>
        <v>15045000</v>
      </c>
      <c r="AJ17" s="9">
        <f>'03 A_Prevádzkové výdavky'!AK195</f>
        <v>15045000</v>
      </c>
      <c r="AK17" s="9">
        <f>'03 A_Prevádzkové výdavky'!AL195</f>
        <v>15045000</v>
      </c>
      <c r="AL17" s="9">
        <f>'03 A_Prevádzkové výdavky'!AM195</f>
        <v>15045000</v>
      </c>
    </row>
    <row r="18" spans="2:38" x14ac:dyDescent="0.2">
      <c r="B18" s="4" t="s">
        <v>271</v>
      </c>
      <c r="C18" s="13">
        <f t="shared" si="19"/>
        <v>605473634.26319408</v>
      </c>
      <c r="D18" s="13">
        <f t="shared" ref="D18:AG18" si="20">SUM(D16:D17)</f>
        <v>10804450.148465233</v>
      </c>
      <c r="E18" s="13">
        <f t="shared" si="20"/>
        <v>10941902.099054523</v>
      </c>
      <c r="F18" s="13">
        <f t="shared" si="20"/>
        <v>11082036.014324727</v>
      </c>
      <c r="G18" s="13">
        <f t="shared" si="20"/>
        <v>12173773.832425959</v>
      </c>
      <c r="H18" s="13">
        <f t="shared" si="20"/>
        <v>12329783.098804396</v>
      </c>
      <c r="I18" s="13">
        <f t="shared" si="20"/>
        <v>12488564.834810406</v>
      </c>
      <c r="J18" s="13">
        <f t="shared" si="20"/>
        <v>12650171.188403958</v>
      </c>
      <c r="K18" s="13">
        <f t="shared" si="20"/>
        <v>12814655.313426659</v>
      </c>
      <c r="L18" s="13">
        <f t="shared" si="20"/>
        <v>12982071.389253855</v>
      </c>
      <c r="M18" s="13">
        <f t="shared" si="20"/>
        <v>13164000.71467348</v>
      </c>
      <c r="N18" s="13">
        <f t="shared" si="20"/>
        <v>13349549.81049186</v>
      </c>
      <c r="O18" s="13">
        <f t="shared" si="20"/>
        <v>13538797.954045394</v>
      </c>
      <c r="P18" s="13">
        <f t="shared" si="20"/>
        <v>13731826.279953184</v>
      </c>
      <c r="Q18" s="13">
        <f t="shared" si="20"/>
        <v>13928717.826101396</v>
      </c>
      <c r="R18" s="13">
        <f t="shared" si="20"/>
        <v>14129557.580820808</v>
      </c>
      <c r="S18" s="13">
        <f t="shared" si="20"/>
        <v>14334432.531289613</v>
      </c>
      <c r="T18" s="13">
        <f t="shared" si="20"/>
        <v>14543431.713194618</v>
      </c>
      <c r="U18" s="13">
        <f t="shared" si="20"/>
        <v>14756646.261684811</v>
      </c>
      <c r="V18" s="13">
        <f t="shared" si="20"/>
        <v>14981688.919682769</v>
      </c>
      <c r="W18" s="13">
        <f t="shared" si="20"/>
        <v>15211624.488079058</v>
      </c>
      <c r="X18" s="13">
        <f t="shared" si="20"/>
        <v>15446574.593856962</v>
      </c>
      <c r="Y18" s="13">
        <f t="shared" si="20"/>
        <v>21041664.219538137</v>
      </c>
      <c r="Z18" s="13">
        <f t="shared" si="20"/>
        <v>21287021.803584479</v>
      </c>
      <c r="AA18" s="13">
        <f t="shared" si="20"/>
        <v>21537779.343985364</v>
      </c>
      <c r="AB18" s="13">
        <f t="shared" si="20"/>
        <v>21794072.505135298</v>
      </c>
      <c r="AC18" s="13">
        <f t="shared" si="20"/>
        <v>16701040.728110589</v>
      </c>
      <c r="AD18" s="13">
        <f t="shared" si="20"/>
        <v>16968827.344457369</v>
      </c>
      <c r="AE18" s="13">
        <f t="shared" si="20"/>
        <v>17252827.940329</v>
      </c>
      <c r="AF18" s="13">
        <f t="shared" si="20"/>
        <v>17543714.355987202</v>
      </c>
      <c r="AG18" s="13">
        <f t="shared" si="20"/>
        <v>17841685.612836517</v>
      </c>
      <c r="AH18" s="13">
        <f t="shared" ref="AH18:AL18" si="21">SUM(AH16:AH17)</f>
        <v>18146947.286745626</v>
      </c>
      <c r="AI18" s="13">
        <f t="shared" si="21"/>
        <v>33504711.743446782</v>
      </c>
      <c r="AJ18" s="13">
        <f t="shared" si="21"/>
        <v>33825198.382832401</v>
      </c>
      <c r="AK18" s="13">
        <f t="shared" si="21"/>
        <v>34153633.892494619</v>
      </c>
      <c r="AL18" s="13">
        <f t="shared" si="21"/>
        <v>34490252.510867044</v>
      </c>
    </row>
    <row r="19" spans="2:38" x14ac:dyDescent="0.2">
      <c r="B19" s="3" t="s">
        <v>54</v>
      </c>
      <c r="C19" s="8">
        <f t="shared" si="19"/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</row>
    <row r="20" spans="2:38" ht="12" thickBot="1" x14ac:dyDescent="0.25">
      <c r="B20" s="20" t="s">
        <v>52</v>
      </c>
      <c r="C20" s="13">
        <f t="shared" si="19"/>
        <v>0</v>
      </c>
      <c r="D20" s="21">
        <f t="shared" ref="D20:AG20" si="22">SUM(D19:D19)</f>
        <v>0</v>
      </c>
      <c r="E20" s="21">
        <f t="shared" si="22"/>
        <v>0</v>
      </c>
      <c r="F20" s="21">
        <f t="shared" si="22"/>
        <v>0</v>
      </c>
      <c r="G20" s="21">
        <f t="shared" si="22"/>
        <v>0</v>
      </c>
      <c r="H20" s="21">
        <f t="shared" si="22"/>
        <v>0</v>
      </c>
      <c r="I20" s="21">
        <f t="shared" si="22"/>
        <v>0</v>
      </c>
      <c r="J20" s="21">
        <f t="shared" si="22"/>
        <v>0</v>
      </c>
      <c r="K20" s="21">
        <f t="shared" si="22"/>
        <v>0</v>
      </c>
      <c r="L20" s="21">
        <f t="shared" si="22"/>
        <v>0</v>
      </c>
      <c r="M20" s="21">
        <f t="shared" si="22"/>
        <v>0</v>
      </c>
      <c r="N20" s="21">
        <f t="shared" si="22"/>
        <v>0</v>
      </c>
      <c r="O20" s="21">
        <f t="shared" si="22"/>
        <v>0</v>
      </c>
      <c r="P20" s="21">
        <f t="shared" si="22"/>
        <v>0</v>
      </c>
      <c r="Q20" s="21">
        <f t="shared" si="22"/>
        <v>0</v>
      </c>
      <c r="R20" s="21">
        <f t="shared" si="22"/>
        <v>0</v>
      </c>
      <c r="S20" s="21">
        <f t="shared" si="22"/>
        <v>0</v>
      </c>
      <c r="T20" s="21">
        <f t="shared" si="22"/>
        <v>0</v>
      </c>
      <c r="U20" s="21">
        <f t="shared" si="22"/>
        <v>0</v>
      </c>
      <c r="V20" s="21">
        <f t="shared" si="22"/>
        <v>0</v>
      </c>
      <c r="W20" s="21">
        <f t="shared" si="22"/>
        <v>0</v>
      </c>
      <c r="X20" s="21">
        <f t="shared" si="22"/>
        <v>0</v>
      </c>
      <c r="Y20" s="21">
        <f t="shared" si="22"/>
        <v>0</v>
      </c>
      <c r="Z20" s="21">
        <f t="shared" si="22"/>
        <v>0</v>
      </c>
      <c r="AA20" s="21">
        <f t="shared" si="22"/>
        <v>0</v>
      </c>
      <c r="AB20" s="21">
        <f t="shared" si="22"/>
        <v>0</v>
      </c>
      <c r="AC20" s="21">
        <f t="shared" si="22"/>
        <v>0</v>
      </c>
      <c r="AD20" s="21">
        <f t="shared" si="22"/>
        <v>0</v>
      </c>
      <c r="AE20" s="21">
        <f t="shared" si="22"/>
        <v>0</v>
      </c>
      <c r="AF20" s="21">
        <f t="shared" si="22"/>
        <v>0</v>
      </c>
      <c r="AG20" s="21">
        <f t="shared" si="22"/>
        <v>0</v>
      </c>
      <c r="AH20" s="21">
        <f t="shared" ref="AH20:AL20" si="23">SUM(AH19:AH19)</f>
        <v>0</v>
      </c>
      <c r="AI20" s="21">
        <f t="shared" si="23"/>
        <v>0</v>
      </c>
      <c r="AJ20" s="21">
        <f t="shared" si="23"/>
        <v>0</v>
      </c>
      <c r="AK20" s="21">
        <f t="shared" si="23"/>
        <v>0</v>
      </c>
      <c r="AL20" s="21">
        <f t="shared" si="23"/>
        <v>0</v>
      </c>
    </row>
    <row r="21" spans="2:38" ht="12" thickTop="1" x14ac:dyDescent="0.2">
      <c r="B21" s="22" t="s">
        <v>51</v>
      </c>
      <c r="C21" s="13">
        <f t="shared" si="19"/>
        <v>605473634.26319408</v>
      </c>
      <c r="D21" s="23">
        <f t="shared" ref="D21:AG21" si="24">SUM(D18,D20)</f>
        <v>10804450.148465233</v>
      </c>
      <c r="E21" s="23">
        <f t="shared" si="24"/>
        <v>10941902.099054523</v>
      </c>
      <c r="F21" s="23">
        <f t="shared" si="24"/>
        <v>11082036.014324727</v>
      </c>
      <c r="G21" s="23">
        <f t="shared" si="24"/>
        <v>12173773.832425959</v>
      </c>
      <c r="H21" s="23">
        <f t="shared" si="24"/>
        <v>12329783.098804396</v>
      </c>
      <c r="I21" s="23">
        <f t="shared" si="24"/>
        <v>12488564.834810406</v>
      </c>
      <c r="J21" s="23">
        <f t="shared" si="24"/>
        <v>12650171.188403958</v>
      </c>
      <c r="K21" s="23">
        <f t="shared" si="24"/>
        <v>12814655.313426659</v>
      </c>
      <c r="L21" s="23">
        <f t="shared" si="24"/>
        <v>12982071.389253855</v>
      </c>
      <c r="M21" s="23">
        <f t="shared" si="24"/>
        <v>13164000.71467348</v>
      </c>
      <c r="N21" s="23">
        <f t="shared" si="24"/>
        <v>13349549.81049186</v>
      </c>
      <c r="O21" s="23">
        <f t="shared" si="24"/>
        <v>13538797.954045394</v>
      </c>
      <c r="P21" s="23">
        <f t="shared" si="24"/>
        <v>13731826.279953184</v>
      </c>
      <c r="Q21" s="23">
        <f t="shared" si="24"/>
        <v>13928717.826101396</v>
      </c>
      <c r="R21" s="23">
        <f t="shared" si="24"/>
        <v>14129557.580820808</v>
      </c>
      <c r="S21" s="23">
        <f t="shared" si="24"/>
        <v>14334432.531289613</v>
      </c>
      <c r="T21" s="23">
        <f t="shared" si="24"/>
        <v>14543431.713194618</v>
      </c>
      <c r="U21" s="23">
        <f t="shared" si="24"/>
        <v>14756646.261684811</v>
      </c>
      <c r="V21" s="23">
        <f t="shared" si="24"/>
        <v>14981688.919682769</v>
      </c>
      <c r="W21" s="23">
        <f t="shared" si="24"/>
        <v>15211624.488079058</v>
      </c>
      <c r="X21" s="23">
        <f t="shared" si="24"/>
        <v>15446574.593856962</v>
      </c>
      <c r="Y21" s="23">
        <f t="shared" si="24"/>
        <v>21041664.219538137</v>
      </c>
      <c r="Z21" s="23">
        <f t="shared" si="24"/>
        <v>21287021.803584479</v>
      </c>
      <c r="AA21" s="23">
        <f t="shared" si="24"/>
        <v>21537779.343985364</v>
      </c>
      <c r="AB21" s="23">
        <f t="shared" si="24"/>
        <v>21794072.505135298</v>
      </c>
      <c r="AC21" s="23">
        <f t="shared" si="24"/>
        <v>16701040.728110589</v>
      </c>
      <c r="AD21" s="23">
        <f t="shared" si="24"/>
        <v>16968827.344457369</v>
      </c>
      <c r="AE21" s="23">
        <f t="shared" si="24"/>
        <v>17252827.940329</v>
      </c>
      <c r="AF21" s="23">
        <f t="shared" si="24"/>
        <v>17543714.355987202</v>
      </c>
      <c r="AG21" s="23">
        <f t="shared" si="24"/>
        <v>17841685.612836517</v>
      </c>
      <c r="AH21" s="23">
        <f t="shared" ref="AH21:AL21" si="25">SUM(AH18,AH20)</f>
        <v>18146947.286745626</v>
      </c>
      <c r="AI21" s="23">
        <f t="shared" si="25"/>
        <v>33504711.743446782</v>
      </c>
      <c r="AJ21" s="23">
        <f t="shared" si="25"/>
        <v>33825198.382832401</v>
      </c>
      <c r="AK21" s="23">
        <f t="shared" si="25"/>
        <v>34153633.892494619</v>
      </c>
      <c r="AL21" s="23">
        <f t="shared" si="25"/>
        <v>34490252.510867044</v>
      </c>
    </row>
    <row r="24" spans="2:38" x14ac:dyDescent="0.2">
      <c r="C24" s="3"/>
      <c r="D24" s="3" t="s">
        <v>10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2:38" x14ac:dyDescent="0.2">
      <c r="B25" s="4" t="s">
        <v>56</v>
      </c>
      <c r="C25" s="4"/>
      <c r="D25" s="3">
        <v>1</v>
      </c>
      <c r="E25" s="3">
        <v>2</v>
      </c>
      <c r="F25" s="3">
        <v>3</v>
      </c>
      <c r="G25" s="3">
        <v>4</v>
      </c>
      <c r="H25" s="3">
        <v>5</v>
      </c>
      <c r="I25" s="3">
        <v>6</v>
      </c>
      <c r="J25" s="3">
        <v>7</v>
      </c>
      <c r="K25" s="3">
        <v>8</v>
      </c>
      <c r="L25" s="3">
        <v>9</v>
      </c>
      <c r="M25" s="3">
        <v>10</v>
      </c>
      <c r="N25" s="3">
        <v>11</v>
      </c>
      <c r="O25" s="3">
        <v>12</v>
      </c>
      <c r="P25" s="3">
        <v>13</v>
      </c>
      <c r="Q25" s="3">
        <v>14</v>
      </c>
      <c r="R25" s="3">
        <v>15</v>
      </c>
      <c r="S25" s="3">
        <v>16</v>
      </c>
      <c r="T25" s="3">
        <v>17</v>
      </c>
      <c r="U25" s="3">
        <v>18</v>
      </c>
      <c r="V25" s="3">
        <v>19</v>
      </c>
      <c r="W25" s="3">
        <v>20</v>
      </c>
      <c r="X25" s="3">
        <v>21</v>
      </c>
      <c r="Y25" s="3">
        <v>22</v>
      </c>
      <c r="Z25" s="3">
        <v>23</v>
      </c>
      <c r="AA25" s="3">
        <v>24</v>
      </c>
      <c r="AB25" s="3">
        <v>25</v>
      </c>
      <c r="AC25" s="3">
        <v>26</v>
      </c>
      <c r="AD25" s="3">
        <v>27</v>
      </c>
      <c r="AE25" s="3">
        <v>28</v>
      </c>
      <c r="AF25" s="3">
        <v>29</v>
      </c>
      <c r="AG25" s="3">
        <v>30</v>
      </c>
      <c r="AH25" s="3">
        <v>31</v>
      </c>
      <c r="AI25" s="3">
        <v>32</v>
      </c>
      <c r="AJ25" s="3">
        <v>33</v>
      </c>
      <c r="AK25" s="3">
        <v>34</v>
      </c>
      <c r="AL25" s="3">
        <v>35</v>
      </c>
    </row>
    <row r="26" spans="2:38" x14ac:dyDescent="0.2">
      <c r="B26" s="155" t="s">
        <v>43</v>
      </c>
      <c r="C26" s="155" t="s">
        <v>9</v>
      </c>
      <c r="D26" s="287">
        <f t="shared" ref="D26:AG26" si="26">D4</f>
        <v>2025</v>
      </c>
      <c r="E26" s="287">
        <f t="shared" si="26"/>
        <v>2026</v>
      </c>
      <c r="F26" s="287">
        <f t="shared" si="26"/>
        <v>2027</v>
      </c>
      <c r="G26" s="287">
        <f t="shared" si="26"/>
        <v>2028</v>
      </c>
      <c r="H26" s="287">
        <f t="shared" si="26"/>
        <v>2029</v>
      </c>
      <c r="I26" s="287">
        <f t="shared" si="26"/>
        <v>2030</v>
      </c>
      <c r="J26" s="287">
        <f t="shared" si="26"/>
        <v>2031</v>
      </c>
      <c r="K26" s="287">
        <f t="shared" si="26"/>
        <v>2032</v>
      </c>
      <c r="L26" s="287">
        <f t="shared" si="26"/>
        <v>2033</v>
      </c>
      <c r="M26" s="287">
        <f t="shared" si="26"/>
        <v>2034</v>
      </c>
      <c r="N26" s="287">
        <f t="shared" si="26"/>
        <v>2035</v>
      </c>
      <c r="O26" s="287">
        <f t="shared" si="26"/>
        <v>2036</v>
      </c>
      <c r="P26" s="287">
        <f t="shared" si="26"/>
        <v>2037</v>
      </c>
      <c r="Q26" s="287">
        <f t="shared" si="26"/>
        <v>2038</v>
      </c>
      <c r="R26" s="287">
        <f t="shared" si="26"/>
        <v>2039</v>
      </c>
      <c r="S26" s="287">
        <f t="shared" si="26"/>
        <v>2040</v>
      </c>
      <c r="T26" s="287">
        <f t="shared" si="26"/>
        <v>2041</v>
      </c>
      <c r="U26" s="287">
        <f t="shared" si="26"/>
        <v>2042</v>
      </c>
      <c r="V26" s="287">
        <f t="shared" si="26"/>
        <v>2043</v>
      </c>
      <c r="W26" s="287">
        <f t="shared" si="26"/>
        <v>2044</v>
      </c>
      <c r="X26" s="287">
        <f t="shared" si="26"/>
        <v>2045</v>
      </c>
      <c r="Y26" s="287">
        <f t="shared" si="26"/>
        <v>2046</v>
      </c>
      <c r="Z26" s="287">
        <f t="shared" si="26"/>
        <v>2047</v>
      </c>
      <c r="AA26" s="287">
        <f t="shared" si="26"/>
        <v>2048</v>
      </c>
      <c r="AB26" s="287">
        <f t="shared" si="26"/>
        <v>2049</v>
      </c>
      <c r="AC26" s="287">
        <f t="shared" si="26"/>
        <v>2050</v>
      </c>
      <c r="AD26" s="287">
        <f t="shared" si="26"/>
        <v>2051</v>
      </c>
      <c r="AE26" s="287">
        <f t="shared" si="26"/>
        <v>2052</v>
      </c>
      <c r="AF26" s="287">
        <f t="shared" si="26"/>
        <v>2053</v>
      </c>
      <c r="AG26" s="287">
        <f t="shared" si="26"/>
        <v>2054</v>
      </c>
      <c r="AH26" s="287">
        <f t="shared" ref="AH26:AL26" si="27">AH4</f>
        <v>2055</v>
      </c>
      <c r="AI26" s="287">
        <f t="shared" si="27"/>
        <v>2056</v>
      </c>
      <c r="AJ26" s="287">
        <f t="shared" si="27"/>
        <v>2057</v>
      </c>
      <c r="AK26" s="287">
        <f t="shared" si="27"/>
        <v>2058</v>
      </c>
      <c r="AL26" s="287">
        <f t="shared" si="27"/>
        <v>2059</v>
      </c>
    </row>
    <row r="27" spans="2:38" x14ac:dyDescent="0.2">
      <c r="B27" s="3" t="s">
        <v>274</v>
      </c>
      <c r="C27" s="8">
        <f>SUM(D27:AL27)</f>
        <v>35288846.415649876</v>
      </c>
      <c r="D27" s="8">
        <f t="shared" ref="D27:AG27" si="28">D16-D5</f>
        <v>0</v>
      </c>
      <c r="E27" s="8">
        <f t="shared" si="28"/>
        <v>0</v>
      </c>
      <c r="F27" s="8">
        <f t="shared" si="28"/>
        <v>0</v>
      </c>
      <c r="G27" s="8">
        <f t="shared" si="28"/>
        <v>948862.48957161047</v>
      </c>
      <c r="H27" s="8">
        <f t="shared" si="28"/>
        <v>959194.1433417201</v>
      </c>
      <c r="I27" s="8">
        <f t="shared" si="28"/>
        <v>969433.65366392955</v>
      </c>
      <c r="J27" s="8">
        <f t="shared" si="28"/>
        <v>979569.34443935007</v>
      </c>
      <c r="K27" s="8">
        <f t="shared" si="28"/>
        <v>989589.01253019273</v>
      </c>
      <c r="L27" s="8">
        <f t="shared" si="28"/>
        <v>997708.32109582797</v>
      </c>
      <c r="M27" s="8">
        <f t="shared" si="28"/>
        <v>1011138.5042230934</v>
      </c>
      <c r="N27" s="8">
        <f t="shared" si="28"/>
        <v>1024551.996794669</v>
      </c>
      <c r="O27" s="8">
        <f t="shared" si="28"/>
        <v>1037936.1910693068</v>
      </c>
      <c r="P27" s="8">
        <f t="shared" si="28"/>
        <v>1051277.7514518257</v>
      </c>
      <c r="Q27" s="8">
        <f t="shared" si="28"/>
        <v>1064562.5819242951</v>
      </c>
      <c r="R27" s="8">
        <f t="shared" si="28"/>
        <v>1077775.7921526525</v>
      </c>
      <c r="S27" s="8">
        <f t="shared" si="28"/>
        <v>1090901.662217306</v>
      </c>
      <c r="T27" s="8">
        <f t="shared" si="28"/>
        <v>1103923.6059144009</v>
      </c>
      <c r="U27" s="8">
        <f t="shared" si="28"/>
        <v>1114798.5172334127</v>
      </c>
      <c r="V27" s="8">
        <f t="shared" si="28"/>
        <v>1124765.4705314394</v>
      </c>
      <c r="W27" s="8">
        <f t="shared" si="28"/>
        <v>1134372.8960310668</v>
      </c>
      <c r="X27" s="8">
        <f t="shared" si="28"/>
        <v>1143587.5856925976</v>
      </c>
      <c r="Y27" s="8">
        <f t="shared" si="28"/>
        <v>1152374.5106667411</v>
      </c>
      <c r="Z27" s="8">
        <f t="shared" si="28"/>
        <v>1160696.734248139</v>
      </c>
      <c r="AA27" s="8">
        <f t="shared" si="28"/>
        <v>1168515.3209017944</v>
      </c>
      <c r="AB27" s="8">
        <f t="shared" si="28"/>
        <v>1175789.2411906403</v>
      </c>
      <c r="AC27" s="8">
        <f t="shared" si="28"/>
        <v>1182475.2724250555</v>
      </c>
      <c r="AD27" s="8">
        <f t="shared" si="28"/>
        <v>1186107.0970089156</v>
      </c>
      <c r="AE27" s="8">
        <f t="shared" si="28"/>
        <v>1187502.0210766587</v>
      </c>
      <c r="AF27" s="8">
        <f t="shared" si="28"/>
        <v>1187827.0931713451</v>
      </c>
      <c r="AG27" s="8">
        <f t="shared" si="28"/>
        <v>1187005.2825754955</v>
      </c>
      <c r="AH27" s="8">
        <f t="shared" ref="AH27:AL27" si="29">AH16-AH5</f>
        <v>1184955.250594724</v>
      </c>
      <c r="AI27" s="8">
        <f t="shared" si="29"/>
        <v>1181591.1281941868</v>
      </c>
      <c r="AJ27" s="8">
        <f t="shared" si="29"/>
        <v>1176822.2825647742</v>
      </c>
      <c r="AK27" s="8">
        <f t="shared" si="29"/>
        <v>1170553.0720793642</v>
      </c>
      <c r="AL27" s="8">
        <f t="shared" si="29"/>
        <v>1162682.5890733413</v>
      </c>
    </row>
    <row r="28" spans="2:38" x14ac:dyDescent="0.2">
      <c r="B28" s="3" t="s">
        <v>272</v>
      </c>
      <c r="C28" s="8">
        <f t="shared" ref="C28:C32" si="30">SUM(D28:AL28)</f>
        <v>35700000</v>
      </c>
      <c r="D28" s="8">
        <f t="shared" ref="D28:AG28" si="31">D17-D6</f>
        <v>0</v>
      </c>
      <c r="E28" s="8">
        <f t="shared" si="31"/>
        <v>0</v>
      </c>
      <c r="F28" s="8">
        <f t="shared" si="31"/>
        <v>0</v>
      </c>
      <c r="G28" s="8">
        <f t="shared" si="31"/>
        <v>0</v>
      </c>
      <c r="H28" s="8">
        <f t="shared" si="31"/>
        <v>0</v>
      </c>
      <c r="I28" s="8">
        <f t="shared" si="31"/>
        <v>0</v>
      </c>
      <c r="J28" s="8">
        <f t="shared" si="31"/>
        <v>0</v>
      </c>
      <c r="K28" s="8">
        <f t="shared" si="31"/>
        <v>0</v>
      </c>
      <c r="L28" s="8">
        <f t="shared" si="31"/>
        <v>0</v>
      </c>
      <c r="M28" s="8">
        <f t="shared" si="31"/>
        <v>-2550000</v>
      </c>
      <c r="N28" s="8">
        <f t="shared" si="31"/>
        <v>-2550000</v>
      </c>
      <c r="O28" s="8">
        <f t="shared" si="31"/>
        <v>-2550000</v>
      </c>
      <c r="P28" s="8">
        <f t="shared" si="31"/>
        <v>-2550000</v>
      </c>
      <c r="Q28" s="8">
        <f t="shared" si="31"/>
        <v>0</v>
      </c>
      <c r="R28" s="8">
        <f t="shared" si="31"/>
        <v>0</v>
      </c>
      <c r="S28" s="8">
        <f t="shared" si="31"/>
        <v>0</v>
      </c>
      <c r="T28" s="8">
        <f t="shared" si="31"/>
        <v>0</v>
      </c>
      <c r="U28" s="8">
        <f t="shared" si="31"/>
        <v>0</v>
      </c>
      <c r="V28" s="8">
        <f t="shared" si="31"/>
        <v>0</v>
      </c>
      <c r="W28" s="8">
        <f t="shared" si="31"/>
        <v>-6375000</v>
      </c>
      <c r="X28" s="8">
        <f t="shared" si="31"/>
        <v>-6375000</v>
      </c>
      <c r="Y28" s="8">
        <f t="shared" si="31"/>
        <v>-1020000</v>
      </c>
      <c r="Z28" s="8">
        <f t="shared" si="31"/>
        <v>-1020000</v>
      </c>
      <c r="AA28" s="8">
        <f t="shared" si="31"/>
        <v>5355000</v>
      </c>
      <c r="AB28" s="8">
        <f t="shared" si="31"/>
        <v>5355000</v>
      </c>
      <c r="AC28" s="8">
        <f t="shared" si="31"/>
        <v>0</v>
      </c>
      <c r="AD28" s="8">
        <f t="shared" si="31"/>
        <v>0</v>
      </c>
      <c r="AE28" s="8">
        <f t="shared" si="31"/>
        <v>0</v>
      </c>
      <c r="AF28" s="8">
        <f t="shared" si="31"/>
        <v>0</v>
      </c>
      <c r="AG28" s="8">
        <f t="shared" si="31"/>
        <v>-2550000</v>
      </c>
      <c r="AH28" s="8">
        <f t="shared" ref="AH28:AL28" si="32">AH17-AH6</f>
        <v>-2550000</v>
      </c>
      <c r="AI28" s="8">
        <f t="shared" si="32"/>
        <v>12495000</v>
      </c>
      <c r="AJ28" s="8">
        <f t="shared" si="32"/>
        <v>12495000</v>
      </c>
      <c r="AK28" s="8">
        <f t="shared" si="32"/>
        <v>15045000</v>
      </c>
      <c r="AL28" s="8">
        <f t="shared" si="32"/>
        <v>15045000</v>
      </c>
    </row>
    <row r="29" spans="2:38" x14ac:dyDescent="0.2">
      <c r="B29" s="4" t="s">
        <v>271</v>
      </c>
      <c r="C29" s="13">
        <f t="shared" si="30"/>
        <v>70988846.415649876</v>
      </c>
      <c r="D29" s="13">
        <f t="shared" ref="D29:AG29" si="33">SUM(D27:D28)</f>
        <v>0</v>
      </c>
      <c r="E29" s="13">
        <f t="shared" si="33"/>
        <v>0</v>
      </c>
      <c r="F29" s="13">
        <f t="shared" si="33"/>
        <v>0</v>
      </c>
      <c r="G29" s="13">
        <f t="shared" si="33"/>
        <v>948862.48957161047</v>
      </c>
      <c r="H29" s="13">
        <f t="shared" si="33"/>
        <v>959194.1433417201</v>
      </c>
      <c r="I29" s="13">
        <f t="shared" si="33"/>
        <v>969433.65366392955</v>
      </c>
      <c r="J29" s="13">
        <f t="shared" si="33"/>
        <v>979569.34443935007</v>
      </c>
      <c r="K29" s="13">
        <f t="shared" si="33"/>
        <v>989589.01253019273</v>
      </c>
      <c r="L29" s="13">
        <f t="shared" si="33"/>
        <v>997708.32109582797</v>
      </c>
      <c r="M29" s="13">
        <f t="shared" si="33"/>
        <v>-1538861.4957769066</v>
      </c>
      <c r="N29" s="13">
        <f t="shared" si="33"/>
        <v>-1525448.003205331</v>
      </c>
      <c r="O29" s="13">
        <f t="shared" si="33"/>
        <v>-1512063.8089306932</v>
      </c>
      <c r="P29" s="13">
        <f t="shared" si="33"/>
        <v>-1498722.2485481743</v>
      </c>
      <c r="Q29" s="13">
        <f t="shared" si="33"/>
        <v>1064562.5819242951</v>
      </c>
      <c r="R29" s="13">
        <f t="shared" si="33"/>
        <v>1077775.7921526525</v>
      </c>
      <c r="S29" s="13">
        <f t="shared" si="33"/>
        <v>1090901.662217306</v>
      </c>
      <c r="T29" s="13">
        <f t="shared" si="33"/>
        <v>1103923.6059144009</v>
      </c>
      <c r="U29" s="13">
        <f t="shared" si="33"/>
        <v>1114798.5172334127</v>
      </c>
      <c r="V29" s="13">
        <f t="shared" si="33"/>
        <v>1124765.4705314394</v>
      </c>
      <c r="W29" s="13">
        <f t="shared" si="33"/>
        <v>-5240627.1039689332</v>
      </c>
      <c r="X29" s="13">
        <f t="shared" si="33"/>
        <v>-5231412.4143074024</v>
      </c>
      <c r="Y29" s="13">
        <f t="shared" si="33"/>
        <v>132374.51066674106</v>
      </c>
      <c r="Z29" s="13">
        <f t="shared" si="33"/>
        <v>140696.73424813896</v>
      </c>
      <c r="AA29" s="13">
        <f t="shared" si="33"/>
        <v>6523515.3209017944</v>
      </c>
      <c r="AB29" s="13">
        <f t="shared" si="33"/>
        <v>6530789.2411906403</v>
      </c>
      <c r="AC29" s="13">
        <f t="shared" si="33"/>
        <v>1182475.2724250555</v>
      </c>
      <c r="AD29" s="13">
        <f t="shared" si="33"/>
        <v>1186107.0970089156</v>
      </c>
      <c r="AE29" s="13">
        <f t="shared" si="33"/>
        <v>1187502.0210766587</v>
      </c>
      <c r="AF29" s="13">
        <f t="shared" si="33"/>
        <v>1187827.0931713451</v>
      </c>
      <c r="AG29" s="13">
        <f t="shared" si="33"/>
        <v>-1362994.7174245045</v>
      </c>
      <c r="AH29" s="13">
        <f t="shared" ref="AH29:AL29" si="34">SUM(AH27:AH28)</f>
        <v>-1365044.749405276</v>
      </c>
      <c r="AI29" s="13">
        <f t="shared" si="34"/>
        <v>13676591.128194187</v>
      </c>
      <c r="AJ29" s="13">
        <f t="shared" si="34"/>
        <v>13671822.282564774</v>
      </c>
      <c r="AK29" s="13">
        <f t="shared" si="34"/>
        <v>16215553.072079364</v>
      </c>
      <c r="AL29" s="13">
        <f t="shared" si="34"/>
        <v>16207682.589073341</v>
      </c>
    </row>
    <row r="30" spans="2:38" x14ac:dyDescent="0.2">
      <c r="B30" s="3" t="s">
        <v>54</v>
      </c>
      <c r="C30" s="8">
        <f t="shared" si="30"/>
        <v>0</v>
      </c>
      <c r="D30" s="8">
        <f t="shared" ref="D30:AG30" si="35">D19-D8</f>
        <v>0</v>
      </c>
      <c r="E30" s="8">
        <f t="shared" si="35"/>
        <v>0</v>
      </c>
      <c r="F30" s="8">
        <f t="shared" si="35"/>
        <v>0</v>
      </c>
      <c r="G30" s="8">
        <f t="shared" si="35"/>
        <v>0</v>
      </c>
      <c r="H30" s="8">
        <f t="shared" si="35"/>
        <v>0</v>
      </c>
      <c r="I30" s="8">
        <f t="shared" si="35"/>
        <v>0</v>
      </c>
      <c r="J30" s="8">
        <f t="shared" si="35"/>
        <v>0</v>
      </c>
      <c r="K30" s="8">
        <f t="shared" si="35"/>
        <v>0</v>
      </c>
      <c r="L30" s="8">
        <f t="shared" si="35"/>
        <v>0</v>
      </c>
      <c r="M30" s="8">
        <f t="shared" si="35"/>
        <v>0</v>
      </c>
      <c r="N30" s="8">
        <f t="shared" si="35"/>
        <v>0</v>
      </c>
      <c r="O30" s="8">
        <f t="shared" si="35"/>
        <v>0</v>
      </c>
      <c r="P30" s="8">
        <f t="shared" si="35"/>
        <v>0</v>
      </c>
      <c r="Q30" s="8">
        <f t="shared" si="35"/>
        <v>0</v>
      </c>
      <c r="R30" s="8">
        <f t="shared" si="35"/>
        <v>0</v>
      </c>
      <c r="S30" s="8">
        <f t="shared" si="35"/>
        <v>0</v>
      </c>
      <c r="T30" s="8">
        <f t="shared" si="35"/>
        <v>0</v>
      </c>
      <c r="U30" s="8">
        <f t="shared" si="35"/>
        <v>0</v>
      </c>
      <c r="V30" s="8">
        <f t="shared" si="35"/>
        <v>0</v>
      </c>
      <c r="W30" s="8">
        <f t="shared" si="35"/>
        <v>0</v>
      </c>
      <c r="X30" s="8">
        <f t="shared" si="35"/>
        <v>0</v>
      </c>
      <c r="Y30" s="8">
        <f t="shared" si="35"/>
        <v>0</v>
      </c>
      <c r="Z30" s="8">
        <f t="shared" si="35"/>
        <v>0</v>
      </c>
      <c r="AA30" s="8">
        <f t="shared" si="35"/>
        <v>0</v>
      </c>
      <c r="AB30" s="8">
        <f t="shared" si="35"/>
        <v>0</v>
      </c>
      <c r="AC30" s="8">
        <f t="shared" si="35"/>
        <v>0</v>
      </c>
      <c r="AD30" s="8">
        <f t="shared" si="35"/>
        <v>0</v>
      </c>
      <c r="AE30" s="8">
        <f t="shared" si="35"/>
        <v>0</v>
      </c>
      <c r="AF30" s="8">
        <f t="shared" si="35"/>
        <v>0</v>
      </c>
      <c r="AG30" s="8">
        <f t="shared" si="35"/>
        <v>0</v>
      </c>
      <c r="AH30" s="8">
        <f t="shared" ref="AH30:AL30" si="36">AH19-AH8</f>
        <v>0</v>
      </c>
      <c r="AI30" s="8">
        <f t="shared" si="36"/>
        <v>0</v>
      </c>
      <c r="AJ30" s="8">
        <f t="shared" si="36"/>
        <v>0</v>
      </c>
      <c r="AK30" s="8">
        <f t="shared" si="36"/>
        <v>0</v>
      </c>
      <c r="AL30" s="8">
        <f t="shared" si="36"/>
        <v>0</v>
      </c>
    </row>
    <row r="31" spans="2:38" ht="12" thickBot="1" x14ac:dyDescent="0.25">
      <c r="B31" s="20" t="s">
        <v>52</v>
      </c>
      <c r="C31" s="13">
        <f t="shared" si="30"/>
        <v>0</v>
      </c>
      <c r="D31" s="21">
        <f t="shared" ref="D31:AG31" si="37">SUM(D30:D30)</f>
        <v>0</v>
      </c>
      <c r="E31" s="21">
        <f t="shared" si="37"/>
        <v>0</v>
      </c>
      <c r="F31" s="21">
        <f t="shared" si="37"/>
        <v>0</v>
      </c>
      <c r="G31" s="21">
        <f t="shared" si="37"/>
        <v>0</v>
      </c>
      <c r="H31" s="21">
        <f t="shared" si="37"/>
        <v>0</v>
      </c>
      <c r="I31" s="21">
        <f t="shared" si="37"/>
        <v>0</v>
      </c>
      <c r="J31" s="21">
        <f t="shared" si="37"/>
        <v>0</v>
      </c>
      <c r="K31" s="21">
        <f t="shared" si="37"/>
        <v>0</v>
      </c>
      <c r="L31" s="21">
        <f t="shared" si="37"/>
        <v>0</v>
      </c>
      <c r="M31" s="21">
        <f t="shared" si="37"/>
        <v>0</v>
      </c>
      <c r="N31" s="21">
        <f t="shared" si="37"/>
        <v>0</v>
      </c>
      <c r="O31" s="21">
        <f t="shared" si="37"/>
        <v>0</v>
      </c>
      <c r="P31" s="21">
        <f t="shared" si="37"/>
        <v>0</v>
      </c>
      <c r="Q31" s="21">
        <f t="shared" si="37"/>
        <v>0</v>
      </c>
      <c r="R31" s="21">
        <f t="shared" si="37"/>
        <v>0</v>
      </c>
      <c r="S31" s="21">
        <f t="shared" si="37"/>
        <v>0</v>
      </c>
      <c r="T31" s="21">
        <f t="shared" si="37"/>
        <v>0</v>
      </c>
      <c r="U31" s="21">
        <f t="shared" si="37"/>
        <v>0</v>
      </c>
      <c r="V31" s="21">
        <f t="shared" si="37"/>
        <v>0</v>
      </c>
      <c r="W31" s="21">
        <f t="shared" si="37"/>
        <v>0</v>
      </c>
      <c r="X31" s="21">
        <f t="shared" si="37"/>
        <v>0</v>
      </c>
      <c r="Y31" s="21">
        <f t="shared" si="37"/>
        <v>0</v>
      </c>
      <c r="Z31" s="21">
        <f t="shared" si="37"/>
        <v>0</v>
      </c>
      <c r="AA31" s="21">
        <f t="shared" si="37"/>
        <v>0</v>
      </c>
      <c r="AB31" s="21">
        <f t="shared" si="37"/>
        <v>0</v>
      </c>
      <c r="AC31" s="21">
        <f t="shared" si="37"/>
        <v>0</v>
      </c>
      <c r="AD31" s="21">
        <f t="shared" si="37"/>
        <v>0</v>
      </c>
      <c r="AE31" s="21">
        <f t="shared" si="37"/>
        <v>0</v>
      </c>
      <c r="AF31" s="21">
        <f t="shared" si="37"/>
        <v>0</v>
      </c>
      <c r="AG31" s="21">
        <f t="shared" si="37"/>
        <v>0</v>
      </c>
      <c r="AH31" s="21">
        <f t="shared" ref="AH31:AL31" si="38">SUM(AH30:AH30)</f>
        <v>0</v>
      </c>
      <c r="AI31" s="21">
        <f t="shared" si="38"/>
        <v>0</v>
      </c>
      <c r="AJ31" s="21">
        <f t="shared" si="38"/>
        <v>0</v>
      </c>
      <c r="AK31" s="21">
        <f t="shared" si="38"/>
        <v>0</v>
      </c>
      <c r="AL31" s="21">
        <f t="shared" si="38"/>
        <v>0</v>
      </c>
    </row>
    <row r="32" spans="2:38" ht="12" thickTop="1" x14ac:dyDescent="0.2">
      <c r="B32" s="22" t="s">
        <v>51</v>
      </c>
      <c r="C32" s="13">
        <f t="shared" si="30"/>
        <v>70988846.415649876</v>
      </c>
      <c r="D32" s="23">
        <f t="shared" ref="D32:AG32" si="39">SUM(D29,D31)</f>
        <v>0</v>
      </c>
      <c r="E32" s="23">
        <f t="shared" si="39"/>
        <v>0</v>
      </c>
      <c r="F32" s="23">
        <f t="shared" si="39"/>
        <v>0</v>
      </c>
      <c r="G32" s="23">
        <f t="shared" si="39"/>
        <v>948862.48957161047</v>
      </c>
      <c r="H32" s="23">
        <f t="shared" si="39"/>
        <v>959194.1433417201</v>
      </c>
      <c r="I32" s="23">
        <f t="shared" si="39"/>
        <v>969433.65366392955</v>
      </c>
      <c r="J32" s="23">
        <f t="shared" si="39"/>
        <v>979569.34443935007</v>
      </c>
      <c r="K32" s="23">
        <f t="shared" si="39"/>
        <v>989589.01253019273</v>
      </c>
      <c r="L32" s="23">
        <f t="shared" si="39"/>
        <v>997708.32109582797</v>
      </c>
      <c r="M32" s="23">
        <f t="shared" si="39"/>
        <v>-1538861.4957769066</v>
      </c>
      <c r="N32" s="23">
        <f t="shared" si="39"/>
        <v>-1525448.003205331</v>
      </c>
      <c r="O32" s="23">
        <f t="shared" si="39"/>
        <v>-1512063.8089306932</v>
      </c>
      <c r="P32" s="23">
        <f t="shared" si="39"/>
        <v>-1498722.2485481743</v>
      </c>
      <c r="Q32" s="23">
        <f t="shared" si="39"/>
        <v>1064562.5819242951</v>
      </c>
      <c r="R32" s="23">
        <f t="shared" si="39"/>
        <v>1077775.7921526525</v>
      </c>
      <c r="S32" s="23">
        <f t="shared" si="39"/>
        <v>1090901.662217306</v>
      </c>
      <c r="T32" s="23">
        <f t="shared" si="39"/>
        <v>1103923.6059144009</v>
      </c>
      <c r="U32" s="23">
        <f t="shared" si="39"/>
        <v>1114798.5172334127</v>
      </c>
      <c r="V32" s="23">
        <f t="shared" si="39"/>
        <v>1124765.4705314394</v>
      </c>
      <c r="W32" s="23">
        <f t="shared" si="39"/>
        <v>-5240627.1039689332</v>
      </c>
      <c r="X32" s="23">
        <f t="shared" si="39"/>
        <v>-5231412.4143074024</v>
      </c>
      <c r="Y32" s="23">
        <f t="shared" si="39"/>
        <v>132374.51066674106</v>
      </c>
      <c r="Z32" s="23">
        <f t="shared" si="39"/>
        <v>140696.73424813896</v>
      </c>
      <c r="AA32" s="23">
        <f t="shared" si="39"/>
        <v>6523515.3209017944</v>
      </c>
      <c r="AB32" s="23">
        <f t="shared" si="39"/>
        <v>6530789.2411906403</v>
      </c>
      <c r="AC32" s="23">
        <f t="shared" si="39"/>
        <v>1182475.2724250555</v>
      </c>
      <c r="AD32" s="23">
        <f t="shared" si="39"/>
        <v>1186107.0970089156</v>
      </c>
      <c r="AE32" s="23">
        <f t="shared" si="39"/>
        <v>1187502.0210766587</v>
      </c>
      <c r="AF32" s="23">
        <f t="shared" si="39"/>
        <v>1187827.0931713451</v>
      </c>
      <c r="AG32" s="23">
        <f t="shared" si="39"/>
        <v>-1362994.7174245045</v>
      </c>
      <c r="AH32" s="23">
        <f t="shared" ref="AH32:AL32" si="40">SUM(AH29,AH31)</f>
        <v>-1365044.749405276</v>
      </c>
      <c r="AI32" s="23">
        <f t="shared" si="40"/>
        <v>13676591.128194187</v>
      </c>
      <c r="AJ32" s="23">
        <f t="shared" si="40"/>
        <v>13671822.282564774</v>
      </c>
      <c r="AK32" s="23">
        <f t="shared" si="40"/>
        <v>16215553.072079364</v>
      </c>
      <c r="AL32" s="23">
        <f t="shared" si="40"/>
        <v>16207682.589073341</v>
      </c>
    </row>
    <row r="35" spans="2:38" x14ac:dyDescent="0.2">
      <c r="C35" s="3"/>
      <c r="D35" s="3" t="s">
        <v>10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2:38" x14ac:dyDescent="0.2">
      <c r="B36" s="4" t="s">
        <v>175</v>
      </c>
      <c r="C36" s="4"/>
      <c r="D36" s="3">
        <v>1</v>
      </c>
      <c r="E36" s="3">
        <v>2</v>
      </c>
      <c r="F36" s="3">
        <v>3</v>
      </c>
      <c r="G36" s="3">
        <v>4</v>
      </c>
      <c r="H36" s="3">
        <v>5</v>
      </c>
      <c r="I36" s="3">
        <v>6</v>
      </c>
      <c r="J36" s="3">
        <v>7</v>
      </c>
      <c r="K36" s="3">
        <v>8</v>
      </c>
      <c r="L36" s="3">
        <v>9</v>
      </c>
      <c r="M36" s="3">
        <v>10</v>
      </c>
      <c r="N36" s="3">
        <v>11</v>
      </c>
      <c r="O36" s="3">
        <v>12</v>
      </c>
      <c r="P36" s="3">
        <v>13</v>
      </c>
      <c r="Q36" s="3">
        <v>14</v>
      </c>
      <c r="R36" s="3">
        <v>15</v>
      </c>
      <c r="S36" s="3">
        <v>16</v>
      </c>
      <c r="T36" s="3">
        <v>17</v>
      </c>
      <c r="U36" s="3">
        <v>18</v>
      </c>
      <c r="V36" s="3">
        <v>19</v>
      </c>
      <c r="W36" s="3">
        <v>20</v>
      </c>
      <c r="X36" s="3">
        <v>21</v>
      </c>
      <c r="Y36" s="3">
        <v>22</v>
      </c>
      <c r="Z36" s="3">
        <v>23</v>
      </c>
      <c r="AA36" s="3">
        <v>24</v>
      </c>
      <c r="AB36" s="3">
        <v>25</v>
      </c>
      <c r="AC36" s="3">
        <v>26</v>
      </c>
      <c r="AD36" s="3">
        <v>27</v>
      </c>
      <c r="AE36" s="3">
        <v>28</v>
      </c>
      <c r="AF36" s="3">
        <v>29</v>
      </c>
      <c r="AG36" s="3">
        <v>30</v>
      </c>
      <c r="AH36" s="3">
        <v>31</v>
      </c>
      <c r="AI36" s="3">
        <v>32</v>
      </c>
      <c r="AJ36" s="3">
        <v>33</v>
      </c>
      <c r="AK36" s="3">
        <v>34</v>
      </c>
      <c r="AL36" s="3">
        <v>35</v>
      </c>
    </row>
    <row r="37" spans="2:38" x14ac:dyDescent="0.2">
      <c r="B37" s="155" t="s">
        <v>43</v>
      </c>
      <c r="C37" s="155" t="s">
        <v>9</v>
      </c>
      <c r="D37" s="287">
        <f t="shared" ref="D37:AG37" si="41">D4</f>
        <v>2025</v>
      </c>
      <c r="E37" s="287">
        <f t="shared" si="41"/>
        <v>2026</v>
      </c>
      <c r="F37" s="287">
        <f t="shared" si="41"/>
        <v>2027</v>
      </c>
      <c r="G37" s="287">
        <f t="shared" si="41"/>
        <v>2028</v>
      </c>
      <c r="H37" s="287">
        <f t="shared" si="41"/>
        <v>2029</v>
      </c>
      <c r="I37" s="287">
        <f t="shared" si="41"/>
        <v>2030</v>
      </c>
      <c r="J37" s="287">
        <f t="shared" si="41"/>
        <v>2031</v>
      </c>
      <c r="K37" s="287">
        <f t="shared" si="41"/>
        <v>2032</v>
      </c>
      <c r="L37" s="287">
        <f t="shared" si="41"/>
        <v>2033</v>
      </c>
      <c r="M37" s="287">
        <f t="shared" si="41"/>
        <v>2034</v>
      </c>
      <c r="N37" s="287">
        <f t="shared" si="41"/>
        <v>2035</v>
      </c>
      <c r="O37" s="287">
        <f t="shared" si="41"/>
        <v>2036</v>
      </c>
      <c r="P37" s="287">
        <f t="shared" si="41"/>
        <v>2037</v>
      </c>
      <c r="Q37" s="287">
        <f t="shared" si="41"/>
        <v>2038</v>
      </c>
      <c r="R37" s="287">
        <f t="shared" si="41"/>
        <v>2039</v>
      </c>
      <c r="S37" s="287">
        <f t="shared" si="41"/>
        <v>2040</v>
      </c>
      <c r="T37" s="287">
        <f t="shared" si="41"/>
        <v>2041</v>
      </c>
      <c r="U37" s="287">
        <f t="shared" si="41"/>
        <v>2042</v>
      </c>
      <c r="V37" s="287">
        <f t="shared" si="41"/>
        <v>2043</v>
      </c>
      <c r="W37" s="287">
        <f t="shared" si="41"/>
        <v>2044</v>
      </c>
      <c r="X37" s="287">
        <f t="shared" si="41"/>
        <v>2045</v>
      </c>
      <c r="Y37" s="287">
        <f t="shared" si="41"/>
        <v>2046</v>
      </c>
      <c r="Z37" s="287">
        <f t="shared" si="41"/>
        <v>2047</v>
      </c>
      <c r="AA37" s="287">
        <f t="shared" si="41"/>
        <v>2048</v>
      </c>
      <c r="AB37" s="287">
        <f t="shared" si="41"/>
        <v>2049</v>
      </c>
      <c r="AC37" s="287">
        <f t="shared" si="41"/>
        <v>2050</v>
      </c>
      <c r="AD37" s="287">
        <f t="shared" si="41"/>
        <v>2051</v>
      </c>
      <c r="AE37" s="287">
        <f t="shared" si="41"/>
        <v>2052</v>
      </c>
      <c r="AF37" s="287">
        <f t="shared" si="41"/>
        <v>2053</v>
      </c>
      <c r="AG37" s="287">
        <f t="shared" si="41"/>
        <v>2054</v>
      </c>
      <c r="AH37" s="287">
        <f t="shared" ref="AH37:AL37" si="42">AH4</f>
        <v>2055</v>
      </c>
      <c r="AI37" s="287">
        <f t="shared" si="42"/>
        <v>2056</v>
      </c>
      <c r="AJ37" s="287">
        <f t="shared" si="42"/>
        <v>2057</v>
      </c>
      <c r="AK37" s="287">
        <f t="shared" si="42"/>
        <v>2058</v>
      </c>
      <c r="AL37" s="287">
        <f t="shared" si="42"/>
        <v>2059</v>
      </c>
    </row>
    <row r="38" spans="2:38" x14ac:dyDescent="0.2">
      <c r="B38" s="3" t="s">
        <v>274</v>
      </c>
      <c r="C38" s="8">
        <f>SUM(D38:AL38)</f>
        <v>31759961.774084885</v>
      </c>
      <c r="D38" s="8">
        <f>D27*Parametre!$C$47</f>
        <v>0</v>
      </c>
      <c r="E38" s="8">
        <f>E27*Parametre!$C$47</f>
        <v>0</v>
      </c>
      <c r="F38" s="8">
        <f>F27*Parametre!$C$47</f>
        <v>0</v>
      </c>
      <c r="G38" s="8">
        <f>G27*Parametre!$C$47</f>
        <v>853976.24061444949</v>
      </c>
      <c r="H38" s="8">
        <f>H27*Parametre!$C$47</f>
        <v>863274.72900754807</v>
      </c>
      <c r="I38" s="8">
        <f>I27*Parametre!$C$47</f>
        <v>872490.28829753667</v>
      </c>
      <c r="J38" s="8">
        <f>J27*Parametre!$C$47</f>
        <v>881612.40999541513</v>
      </c>
      <c r="K38" s="8">
        <f>K27*Parametre!$C$47</f>
        <v>890630.11127717351</v>
      </c>
      <c r="L38" s="8">
        <f>L27*Parametre!$C$47</f>
        <v>897937.48898624524</v>
      </c>
      <c r="M38" s="8">
        <f>M27*Parametre!$C$47</f>
        <v>910024.65380078403</v>
      </c>
      <c r="N38" s="8">
        <f>N27*Parametre!$C$47</f>
        <v>922096.79711520206</v>
      </c>
      <c r="O38" s="8">
        <f>O27*Parametre!$C$47</f>
        <v>934142.57196237613</v>
      </c>
      <c r="P38" s="8">
        <f>P27*Parametre!$C$47</f>
        <v>946149.97630664322</v>
      </c>
      <c r="Q38" s="8">
        <f>Q27*Parametre!$C$47</f>
        <v>958106.32373186562</v>
      </c>
      <c r="R38" s="8">
        <f>R27*Parametre!$C$47</f>
        <v>969998.21293738729</v>
      </c>
      <c r="S38" s="8">
        <f>S27*Parametre!$C$47</f>
        <v>981811.49599557545</v>
      </c>
      <c r="T38" s="8">
        <f>T27*Parametre!$C$47</f>
        <v>993531.24532296078</v>
      </c>
      <c r="U38" s="8">
        <f>U27*Parametre!$C$47</f>
        <v>1003318.6655100714</v>
      </c>
      <c r="V38" s="8">
        <f>V27*Parametre!$C$47</f>
        <v>1012288.9234782954</v>
      </c>
      <c r="W38" s="8">
        <f>W27*Parametre!$C$47</f>
        <v>1020935.6064279601</v>
      </c>
      <c r="X38" s="8">
        <f>X27*Parametre!$C$47</f>
        <v>1029228.8271233378</v>
      </c>
      <c r="Y38" s="8">
        <f>Y27*Parametre!$C$47</f>
        <v>1037137.059600067</v>
      </c>
      <c r="Z38" s="8">
        <f>Z27*Parametre!$C$47</f>
        <v>1044627.0608233251</v>
      </c>
      <c r="AA38" s="8">
        <f>AA27*Parametre!$C$47</f>
        <v>1051663.788811615</v>
      </c>
      <c r="AB38" s="8">
        <f>AB27*Parametre!$C$47</f>
        <v>1058210.3170715764</v>
      </c>
      <c r="AC38" s="8">
        <f>AC27*Parametre!$C$47</f>
        <v>1064227.74518255</v>
      </c>
      <c r="AD38" s="8">
        <f>AD27*Parametre!$C$47</f>
        <v>1067496.3873080241</v>
      </c>
      <c r="AE38" s="8">
        <f>AE27*Parametre!$C$47</f>
        <v>1068751.8189689929</v>
      </c>
      <c r="AF38" s="8">
        <f>AF27*Parametre!$C$47</f>
        <v>1069044.3838542106</v>
      </c>
      <c r="AG38" s="8">
        <f>AG27*Parametre!$C$47</f>
        <v>1068304.754317946</v>
      </c>
      <c r="AH38" s="8">
        <f>AH27*Parametre!$C$47</f>
        <v>1066459.7255352517</v>
      </c>
      <c r="AI38" s="8">
        <f>AI27*Parametre!$C$47</f>
        <v>1063432.0153747683</v>
      </c>
      <c r="AJ38" s="8">
        <f>AJ27*Parametre!$C$47</f>
        <v>1059140.0543082969</v>
      </c>
      <c r="AK38" s="8">
        <f>AK27*Parametre!$C$47</f>
        <v>1053497.7648714278</v>
      </c>
      <c r="AL38" s="8">
        <f>AL27*Parametre!$C$47</f>
        <v>1046414.3301660073</v>
      </c>
    </row>
    <row r="39" spans="2:38" x14ac:dyDescent="0.2">
      <c r="B39" s="3" t="s">
        <v>272</v>
      </c>
      <c r="C39" s="8">
        <f t="shared" ref="C39:C43" si="43">SUM(D39:AL39)</f>
        <v>32130000</v>
      </c>
      <c r="D39" s="8">
        <f>D28*Parametre!$C$47</f>
        <v>0</v>
      </c>
      <c r="E39" s="8">
        <f>E28*Parametre!$C$47</f>
        <v>0</v>
      </c>
      <c r="F39" s="8">
        <f>F28*Parametre!$C$47</f>
        <v>0</v>
      </c>
      <c r="G39" s="8">
        <f>G28*Parametre!$C$47</f>
        <v>0</v>
      </c>
      <c r="H39" s="8">
        <f>H28*Parametre!$C$47</f>
        <v>0</v>
      </c>
      <c r="I39" s="8">
        <f>I28*Parametre!$C$47</f>
        <v>0</v>
      </c>
      <c r="J39" s="8">
        <f>J28*Parametre!$C$47</f>
        <v>0</v>
      </c>
      <c r="K39" s="8">
        <f>K28*Parametre!$C$47</f>
        <v>0</v>
      </c>
      <c r="L39" s="8">
        <f>L28*Parametre!$C$47</f>
        <v>0</v>
      </c>
      <c r="M39" s="8">
        <f>M28*Parametre!$C$47</f>
        <v>-2295000</v>
      </c>
      <c r="N39" s="8">
        <f>N28*Parametre!$C$47</f>
        <v>-2295000</v>
      </c>
      <c r="O39" s="8">
        <f>O28*Parametre!$C$47</f>
        <v>-2295000</v>
      </c>
      <c r="P39" s="8">
        <f>P28*Parametre!$C$47</f>
        <v>-2295000</v>
      </c>
      <c r="Q39" s="8">
        <f>Q28*Parametre!$C$47</f>
        <v>0</v>
      </c>
      <c r="R39" s="8">
        <f>R28*Parametre!$C$47</f>
        <v>0</v>
      </c>
      <c r="S39" s="8">
        <f>S28*Parametre!$C$47</f>
        <v>0</v>
      </c>
      <c r="T39" s="8">
        <f>T28*Parametre!$C$47</f>
        <v>0</v>
      </c>
      <c r="U39" s="8">
        <f>U28*Parametre!$C$47</f>
        <v>0</v>
      </c>
      <c r="V39" s="8">
        <f>V28*Parametre!$C$47</f>
        <v>0</v>
      </c>
      <c r="W39" s="8">
        <f>W28*Parametre!$C$47</f>
        <v>-5737500</v>
      </c>
      <c r="X39" s="8">
        <f>X28*Parametre!$C$47</f>
        <v>-5737500</v>
      </c>
      <c r="Y39" s="8">
        <f>Y28*Parametre!$C$47</f>
        <v>-918000</v>
      </c>
      <c r="Z39" s="8">
        <f>Z28*Parametre!$C$47</f>
        <v>-918000</v>
      </c>
      <c r="AA39" s="8">
        <f>AA28*Parametre!$C$47</f>
        <v>4819500</v>
      </c>
      <c r="AB39" s="8">
        <f>AB28*Parametre!$C$47</f>
        <v>4819500</v>
      </c>
      <c r="AC39" s="8">
        <f>AC28*Parametre!$C$47</f>
        <v>0</v>
      </c>
      <c r="AD39" s="8">
        <f>AD28*Parametre!$C$47</f>
        <v>0</v>
      </c>
      <c r="AE39" s="8">
        <f>AE28*Parametre!$C$47</f>
        <v>0</v>
      </c>
      <c r="AF39" s="8">
        <f>AF28*Parametre!$C$47</f>
        <v>0</v>
      </c>
      <c r="AG39" s="8">
        <f>AG28*Parametre!$C$47</f>
        <v>-2295000</v>
      </c>
      <c r="AH39" s="8">
        <f>AH28*Parametre!$C$47</f>
        <v>-2295000</v>
      </c>
      <c r="AI39" s="8">
        <f>AI28*Parametre!$C$47</f>
        <v>11245500</v>
      </c>
      <c r="AJ39" s="8">
        <f>AJ28*Parametre!$C$47</f>
        <v>11245500</v>
      </c>
      <c r="AK39" s="8">
        <f>AK28*Parametre!$C$47</f>
        <v>13540500</v>
      </c>
      <c r="AL39" s="8">
        <f>AL28*Parametre!$C$47</f>
        <v>13540500</v>
      </c>
    </row>
    <row r="40" spans="2:38" x14ac:dyDescent="0.2">
      <c r="B40" s="4" t="s">
        <v>273</v>
      </c>
      <c r="C40" s="13">
        <f t="shared" si="43"/>
        <v>63889961.774084881</v>
      </c>
      <c r="D40" s="13">
        <f t="shared" ref="D40:AG40" si="44">SUM(D38:D39)</f>
        <v>0</v>
      </c>
      <c r="E40" s="13">
        <f t="shared" si="44"/>
        <v>0</v>
      </c>
      <c r="F40" s="13">
        <f t="shared" si="44"/>
        <v>0</v>
      </c>
      <c r="G40" s="13">
        <f t="shared" si="44"/>
        <v>853976.24061444949</v>
      </c>
      <c r="H40" s="13">
        <f t="shared" si="44"/>
        <v>863274.72900754807</v>
      </c>
      <c r="I40" s="13">
        <f t="shared" si="44"/>
        <v>872490.28829753667</v>
      </c>
      <c r="J40" s="13">
        <f t="shared" si="44"/>
        <v>881612.40999541513</v>
      </c>
      <c r="K40" s="13">
        <f t="shared" si="44"/>
        <v>890630.11127717351</v>
      </c>
      <c r="L40" s="13">
        <f t="shared" si="44"/>
        <v>897937.48898624524</v>
      </c>
      <c r="M40" s="13">
        <f t="shared" si="44"/>
        <v>-1384975.3461992159</v>
      </c>
      <c r="N40" s="13">
        <f t="shared" si="44"/>
        <v>-1372903.2028847979</v>
      </c>
      <c r="O40" s="13">
        <f t="shared" si="44"/>
        <v>-1360857.4280376239</v>
      </c>
      <c r="P40" s="13">
        <f t="shared" si="44"/>
        <v>-1348850.0236933567</v>
      </c>
      <c r="Q40" s="13">
        <f t="shared" si="44"/>
        <v>958106.32373186562</v>
      </c>
      <c r="R40" s="13">
        <f t="shared" si="44"/>
        <v>969998.21293738729</v>
      </c>
      <c r="S40" s="13">
        <f t="shared" si="44"/>
        <v>981811.49599557545</v>
      </c>
      <c r="T40" s="13">
        <f t="shared" si="44"/>
        <v>993531.24532296078</v>
      </c>
      <c r="U40" s="13">
        <f t="shared" si="44"/>
        <v>1003318.6655100714</v>
      </c>
      <c r="V40" s="13">
        <f t="shared" si="44"/>
        <v>1012288.9234782954</v>
      </c>
      <c r="W40" s="13">
        <f t="shared" si="44"/>
        <v>-4716564.3935720399</v>
      </c>
      <c r="X40" s="13">
        <f t="shared" si="44"/>
        <v>-4708271.1728766626</v>
      </c>
      <c r="Y40" s="13">
        <f t="shared" si="44"/>
        <v>119137.05960006698</v>
      </c>
      <c r="Z40" s="13">
        <f t="shared" si="44"/>
        <v>126627.06082332507</v>
      </c>
      <c r="AA40" s="13">
        <f t="shared" si="44"/>
        <v>5871163.7888116147</v>
      </c>
      <c r="AB40" s="13">
        <f t="shared" si="44"/>
        <v>5877710.3170715766</v>
      </c>
      <c r="AC40" s="13">
        <f t="shared" si="44"/>
        <v>1064227.74518255</v>
      </c>
      <c r="AD40" s="13">
        <f t="shared" si="44"/>
        <v>1067496.3873080241</v>
      </c>
      <c r="AE40" s="13">
        <f t="shared" si="44"/>
        <v>1068751.8189689929</v>
      </c>
      <c r="AF40" s="13">
        <f t="shared" si="44"/>
        <v>1069044.3838542106</v>
      </c>
      <c r="AG40" s="13">
        <f t="shared" si="44"/>
        <v>-1226695.245682054</v>
      </c>
      <c r="AH40" s="13">
        <f>SUM(AH38:AH39)</f>
        <v>-1228540.2744647483</v>
      </c>
      <c r="AI40" s="13">
        <f t="shared" ref="AI40:AL40" si="45">SUM(AI38:AI39)</f>
        <v>12308932.015374769</v>
      </c>
      <c r="AJ40" s="13">
        <f t="shared" si="45"/>
        <v>12304640.054308297</v>
      </c>
      <c r="AK40" s="13">
        <f t="shared" si="45"/>
        <v>14593997.764871428</v>
      </c>
      <c r="AL40" s="13">
        <f t="shared" si="45"/>
        <v>14586914.330166006</v>
      </c>
    </row>
    <row r="41" spans="2:38" x14ac:dyDescent="0.2">
      <c r="B41" s="3" t="s">
        <v>176</v>
      </c>
      <c r="C41" s="8">
        <f t="shared" si="43"/>
        <v>0</v>
      </c>
      <c r="D41" s="8">
        <f>D30*Parametre!$C$47</f>
        <v>0</v>
      </c>
      <c r="E41" s="8">
        <f>E30*Parametre!$C$47</f>
        <v>0</v>
      </c>
      <c r="F41" s="8">
        <f>F30*Parametre!$C$47</f>
        <v>0</v>
      </c>
      <c r="G41" s="8">
        <f>G30*Parametre!$C$47</f>
        <v>0</v>
      </c>
      <c r="H41" s="8">
        <f>H30*Parametre!$C$47</f>
        <v>0</v>
      </c>
      <c r="I41" s="8">
        <f>I30*Parametre!$C$47</f>
        <v>0</v>
      </c>
      <c r="J41" s="8">
        <f>J30*Parametre!$C$47</f>
        <v>0</v>
      </c>
      <c r="K41" s="8">
        <f>K30*Parametre!$C$47</f>
        <v>0</v>
      </c>
      <c r="L41" s="8">
        <f>L30*Parametre!$C$47</f>
        <v>0</v>
      </c>
      <c r="M41" s="8">
        <f>M30*Parametre!$C$47</f>
        <v>0</v>
      </c>
      <c r="N41" s="8">
        <f>N30*Parametre!$C$47</f>
        <v>0</v>
      </c>
      <c r="O41" s="8">
        <f>O30*Parametre!$C$47</f>
        <v>0</v>
      </c>
      <c r="P41" s="8">
        <f>P30*Parametre!$C$47</f>
        <v>0</v>
      </c>
      <c r="Q41" s="8">
        <f>Q30*Parametre!$C$47</f>
        <v>0</v>
      </c>
      <c r="R41" s="8">
        <f>R30*Parametre!$C$47</f>
        <v>0</v>
      </c>
      <c r="S41" s="8">
        <f>S30*Parametre!$C$47</f>
        <v>0</v>
      </c>
      <c r="T41" s="8">
        <f>T30*Parametre!$C$47</f>
        <v>0</v>
      </c>
      <c r="U41" s="8">
        <f>U30*Parametre!$C$47</f>
        <v>0</v>
      </c>
      <c r="V41" s="8">
        <f>V30*Parametre!$C$47</f>
        <v>0</v>
      </c>
      <c r="W41" s="8">
        <f>W30*Parametre!$C$47</f>
        <v>0</v>
      </c>
      <c r="X41" s="8">
        <f>X30*Parametre!$C$47</f>
        <v>0</v>
      </c>
      <c r="Y41" s="8">
        <f>Y30*Parametre!$C$47</f>
        <v>0</v>
      </c>
      <c r="Z41" s="8">
        <f>Z30*Parametre!$C$47</f>
        <v>0</v>
      </c>
      <c r="AA41" s="8">
        <f>AA30*Parametre!$C$47</f>
        <v>0</v>
      </c>
      <c r="AB41" s="8">
        <f>AB30*Parametre!$C$47</f>
        <v>0</v>
      </c>
      <c r="AC41" s="8">
        <f>AC30*Parametre!$C$47</f>
        <v>0</v>
      </c>
      <c r="AD41" s="8">
        <f>AD30*Parametre!$C$47</f>
        <v>0</v>
      </c>
      <c r="AE41" s="8">
        <f>AE30*Parametre!$C$47</f>
        <v>0</v>
      </c>
      <c r="AF41" s="8">
        <f>AF30*Parametre!$C$47</f>
        <v>0</v>
      </c>
      <c r="AG41" s="8">
        <f>AG30*Parametre!$C$47</f>
        <v>0</v>
      </c>
      <c r="AH41" s="8">
        <f>AH30*Parametre!$C$47</f>
        <v>0</v>
      </c>
      <c r="AI41" s="8">
        <f>AI30*Parametre!$C$47</f>
        <v>0</v>
      </c>
      <c r="AJ41" s="8">
        <f>AJ30*Parametre!$C$47</f>
        <v>0</v>
      </c>
      <c r="AK41" s="8">
        <f>AK30*Parametre!$C$47</f>
        <v>0</v>
      </c>
      <c r="AL41" s="8">
        <f>AL30*Parametre!$C$47</f>
        <v>0</v>
      </c>
    </row>
    <row r="42" spans="2:38" ht="12" thickBot="1" x14ac:dyDescent="0.25">
      <c r="B42" s="20" t="s">
        <v>177</v>
      </c>
      <c r="C42" s="13">
        <f t="shared" si="43"/>
        <v>0</v>
      </c>
      <c r="D42" s="21">
        <f t="shared" ref="D42:AG42" si="46">SUM(D41:D41)</f>
        <v>0</v>
      </c>
      <c r="E42" s="21">
        <f t="shared" si="46"/>
        <v>0</v>
      </c>
      <c r="F42" s="21">
        <f t="shared" si="46"/>
        <v>0</v>
      </c>
      <c r="G42" s="21">
        <f t="shared" si="46"/>
        <v>0</v>
      </c>
      <c r="H42" s="21">
        <f t="shared" si="46"/>
        <v>0</v>
      </c>
      <c r="I42" s="21">
        <f t="shared" si="46"/>
        <v>0</v>
      </c>
      <c r="J42" s="21">
        <f t="shared" si="46"/>
        <v>0</v>
      </c>
      <c r="K42" s="21">
        <f t="shared" si="46"/>
        <v>0</v>
      </c>
      <c r="L42" s="21">
        <f t="shared" si="46"/>
        <v>0</v>
      </c>
      <c r="M42" s="21">
        <f t="shared" si="46"/>
        <v>0</v>
      </c>
      <c r="N42" s="21">
        <f t="shared" si="46"/>
        <v>0</v>
      </c>
      <c r="O42" s="21">
        <f t="shared" si="46"/>
        <v>0</v>
      </c>
      <c r="P42" s="21">
        <f t="shared" si="46"/>
        <v>0</v>
      </c>
      <c r="Q42" s="21">
        <f t="shared" si="46"/>
        <v>0</v>
      </c>
      <c r="R42" s="21">
        <f t="shared" si="46"/>
        <v>0</v>
      </c>
      <c r="S42" s="21">
        <f t="shared" si="46"/>
        <v>0</v>
      </c>
      <c r="T42" s="21">
        <f t="shared" si="46"/>
        <v>0</v>
      </c>
      <c r="U42" s="21">
        <f t="shared" si="46"/>
        <v>0</v>
      </c>
      <c r="V42" s="21">
        <f t="shared" si="46"/>
        <v>0</v>
      </c>
      <c r="W42" s="21">
        <f t="shared" si="46"/>
        <v>0</v>
      </c>
      <c r="X42" s="21">
        <f t="shared" si="46"/>
        <v>0</v>
      </c>
      <c r="Y42" s="21">
        <f t="shared" si="46"/>
        <v>0</v>
      </c>
      <c r="Z42" s="21">
        <f t="shared" si="46"/>
        <v>0</v>
      </c>
      <c r="AA42" s="21">
        <f t="shared" si="46"/>
        <v>0</v>
      </c>
      <c r="AB42" s="21">
        <f t="shared" si="46"/>
        <v>0</v>
      </c>
      <c r="AC42" s="21">
        <f t="shared" si="46"/>
        <v>0</v>
      </c>
      <c r="AD42" s="21">
        <f t="shared" si="46"/>
        <v>0</v>
      </c>
      <c r="AE42" s="21">
        <f t="shared" si="46"/>
        <v>0</v>
      </c>
      <c r="AF42" s="21">
        <f t="shared" si="46"/>
        <v>0</v>
      </c>
      <c r="AG42" s="21">
        <f t="shared" si="46"/>
        <v>0</v>
      </c>
      <c r="AH42" s="21">
        <f t="shared" ref="AH42:AL42" si="47">SUM(AH41:AH41)</f>
        <v>0</v>
      </c>
      <c r="AI42" s="21">
        <f t="shared" si="47"/>
        <v>0</v>
      </c>
      <c r="AJ42" s="21">
        <f t="shared" si="47"/>
        <v>0</v>
      </c>
      <c r="AK42" s="21">
        <f t="shared" si="47"/>
        <v>0</v>
      </c>
      <c r="AL42" s="21">
        <f t="shared" si="47"/>
        <v>0</v>
      </c>
    </row>
    <row r="43" spans="2:38" ht="12" thickTop="1" x14ac:dyDescent="0.2">
      <c r="B43" s="22" t="s">
        <v>178</v>
      </c>
      <c r="C43" s="13">
        <f t="shared" si="43"/>
        <v>63889961.774084881</v>
      </c>
      <c r="D43" s="23">
        <f t="shared" ref="D43:AG43" si="48">SUM(D40,D42)</f>
        <v>0</v>
      </c>
      <c r="E43" s="23">
        <f t="shared" si="48"/>
        <v>0</v>
      </c>
      <c r="F43" s="23">
        <f t="shared" si="48"/>
        <v>0</v>
      </c>
      <c r="G43" s="23">
        <f t="shared" si="48"/>
        <v>853976.24061444949</v>
      </c>
      <c r="H43" s="23">
        <f t="shared" si="48"/>
        <v>863274.72900754807</v>
      </c>
      <c r="I43" s="23">
        <f t="shared" si="48"/>
        <v>872490.28829753667</v>
      </c>
      <c r="J43" s="23">
        <f t="shared" si="48"/>
        <v>881612.40999541513</v>
      </c>
      <c r="K43" s="23">
        <f t="shared" si="48"/>
        <v>890630.11127717351</v>
      </c>
      <c r="L43" s="23">
        <f t="shared" si="48"/>
        <v>897937.48898624524</v>
      </c>
      <c r="M43" s="23">
        <f t="shared" si="48"/>
        <v>-1384975.3461992159</v>
      </c>
      <c r="N43" s="23">
        <f t="shared" si="48"/>
        <v>-1372903.2028847979</v>
      </c>
      <c r="O43" s="23">
        <f t="shared" si="48"/>
        <v>-1360857.4280376239</v>
      </c>
      <c r="P43" s="23">
        <f t="shared" si="48"/>
        <v>-1348850.0236933567</v>
      </c>
      <c r="Q43" s="23">
        <f t="shared" si="48"/>
        <v>958106.32373186562</v>
      </c>
      <c r="R43" s="23">
        <f t="shared" si="48"/>
        <v>969998.21293738729</v>
      </c>
      <c r="S43" s="23">
        <f t="shared" si="48"/>
        <v>981811.49599557545</v>
      </c>
      <c r="T43" s="23">
        <f t="shared" si="48"/>
        <v>993531.24532296078</v>
      </c>
      <c r="U43" s="23">
        <f t="shared" si="48"/>
        <v>1003318.6655100714</v>
      </c>
      <c r="V43" s="23">
        <f t="shared" si="48"/>
        <v>1012288.9234782954</v>
      </c>
      <c r="W43" s="23">
        <f t="shared" si="48"/>
        <v>-4716564.3935720399</v>
      </c>
      <c r="X43" s="23">
        <f t="shared" si="48"/>
        <v>-4708271.1728766626</v>
      </c>
      <c r="Y43" s="23">
        <f t="shared" si="48"/>
        <v>119137.05960006698</v>
      </c>
      <c r="Z43" s="23">
        <f t="shared" si="48"/>
        <v>126627.06082332507</v>
      </c>
      <c r="AA43" s="23">
        <f t="shared" si="48"/>
        <v>5871163.7888116147</v>
      </c>
      <c r="AB43" s="23">
        <f t="shared" si="48"/>
        <v>5877710.3170715766</v>
      </c>
      <c r="AC43" s="23">
        <f t="shared" si="48"/>
        <v>1064227.74518255</v>
      </c>
      <c r="AD43" s="23">
        <f t="shared" si="48"/>
        <v>1067496.3873080241</v>
      </c>
      <c r="AE43" s="23">
        <f t="shared" si="48"/>
        <v>1068751.8189689929</v>
      </c>
      <c r="AF43" s="23">
        <f t="shared" si="48"/>
        <v>1069044.3838542106</v>
      </c>
      <c r="AG43" s="23">
        <f t="shared" si="48"/>
        <v>-1226695.245682054</v>
      </c>
      <c r="AH43" s="23">
        <f t="shared" ref="AH43:AL43" si="49">SUM(AH40,AH42)</f>
        <v>-1228540.2744647483</v>
      </c>
      <c r="AI43" s="23">
        <f t="shared" si="49"/>
        <v>12308932.015374769</v>
      </c>
      <c r="AJ43" s="23">
        <f t="shared" si="49"/>
        <v>12304640.054308297</v>
      </c>
      <c r="AK43" s="23">
        <f t="shared" si="49"/>
        <v>14593997.764871428</v>
      </c>
      <c r="AL43" s="23">
        <f t="shared" si="49"/>
        <v>14586914.330166006</v>
      </c>
    </row>
    <row r="45" spans="2:38" x14ac:dyDescent="0.2">
      <c r="B45" s="2" t="s">
        <v>164</v>
      </c>
    </row>
    <row r="46" spans="2:38" x14ac:dyDescent="0.2">
      <c r="B46" s="2" t="s">
        <v>165</v>
      </c>
    </row>
  </sheetData>
  <sheetProtection algorithmName="SHA-512" hashValue="6Uqu3OQJ96njOI9xACvabUmK7Lrff7UYGm+oSugS/u+013L5XksE9qT9xg5o6vBdxW4HmSbBz79NU8LhbkOIhA==" saltValue="jjLjuVGzvCmcHrxlaOgAEA==" spinCount="100000" sheet="1" objects="1" scenarios="1"/>
  <phoneticPr fontId="3" type="noConversion"/>
  <pageMargins left="0.19687499999999999" right="0.26250000000000001" top="0.88958333333333328" bottom="0.7" header="0.5" footer="0.5"/>
  <pageSetup paperSize="9" scale="70" orientation="landscape" r:id="rId1"/>
  <headerFooter alignWithMargins="0">
    <oddHeader>&amp;LPríloha 7: Štandardné tabuľky - Cesty
&amp;"Arial,Tučné"&amp;12 03 Náklady na prevádzku a údržbu</oddHeader>
    <oddFooter>Strana &amp;P z &amp;N</oddFooter>
  </headerFooter>
  <ignoredErrors>
    <ignoredError sqref="D18 D7" formulaRange="1"/>
    <ignoredError sqref="D29:AG29 D40:AG40 AH40:AL40 AH29:AL2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B2:AL23"/>
  <sheetViews>
    <sheetView zoomScale="90" zoomScaleNormal="90" workbookViewId="0"/>
  </sheetViews>
  <sheetFormatPr defaultColWidth="9.140625" defaultRowHeight="11.25" x14ac:dyDescent="0.2"/>
  <cols>
    <col min="1" max="1" width="2.7109375" style="2" customWidth="1"/>
    <col min="2" max="2" width="13.5703125" style="2" bestFit="1" customWidth="1"/>
    <col min="3" max="3" width="9.28515625" style="2" bestFit="1" customWidth="1"/>
    <col min="4" max="38" width="7.7109375" style="2" bestFit="1" customWidth="1"/>
    <col min="39" max="16384" width="9.140625" style="2"/>
  </cols>
  <sheetData>
    <row r="2" spans="2:38" x14ac:dyDescent="0.2">
      <c r="B2" s="3"/>
      <c r="C2" s="3"/>
      <c r="D2" s="3" t="s">
        <v>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x14ac:dyDescent="0.2">
      <c r="B3" s="4" t="s">
        <v>197</v>
      </c>
      <c r="C3" s="4"/>
      <c r="D3" s="5">
        <v>1</v>
      </c>
      <c r="E3" s="5">
        <v>2</v>
      </c>
      <c r="F3" s="5">
        <v>3</v>
      </c>
      <c r="G3" s="5">
        <v>4</v>
      </c>
      <c r="H3" s="5">
        <v>5</v>
      </c>
      <c r="I3" s="5">
        <v>6</v>
      </c>
      <c r="J3" s="5">
        <v>7</v>
      </c>
      <c r="K3" s="5">
        <v>8</v>
      </c>
      <c r="L3" s="5">
        <v>9</v>
      </c>
      <c r="M3" s="5">
        <v>10</v>
      </c>
      <c r="N3" s="5">
        <v>11</v>
      </c>
      <c r="O3" s="5">
        <v>12</v>
      </c>
      <c r="P3" s="5">
        <v>13</v>
      </c>
      <c r="Q3" s="5">
        <v>14</v>
      </c>
      <c r="R3" s="5">
        <v>15</v>
      </c>
      <c r="S3" s="5">
        <v>16</v>
      </c>
      <c r="T3" s="5">
        <v>17</v>
      </c>
      <c r="U3" s="5">
        <v>18</v>
      </c>
      <c r="V3" s="5">
        <v>19</v>
      </c>
      <c r="W3" s="5">
        <v>20</v>
      </c>
      <c r="X3" s="5">
        <v>21</v>
      </c>
      <c r="Y3" s="5">
        <v>22</v>
      </c>
      <c r="Z3" s="5">
        <v>23</v>
      </c>
      <c r="AA3" s="5">
        <v>24</v>
      </c>
      <c r="AB3" s="5">
        <v>25</v>
      </c>
      <c r="AC3" s="5">
        <v>26</v>
      </c>
      <c r="AD3" s="5">
        <v>27</v>
      </c>
      <c r="AE3" s="5">
        <v>28</v>
      </c>
      <c r="AF3" s="5">
        <v>29</v>
      </c>
      <c r="AG3" s="5">
        <v>30</v>
      </c>
      <c r="AH3" s="5">
        <v>31</v>
      </c>
      <c r="AI3" s="5">
        <v>32</v>
      </c>
      <c r="AJ3" s="5">
        <v>33</v>
      </c>
      <c r="AK3" s="5">
        <v>34</v>
      </c>
      <c r="AL3" s="5">
        <v>35</v>
      </c>
    </row>
    <row r="4" spans="2:38" x14ac:dyDescent="0.2">
      <c r="B4" s="6" t="s">
        <v>33</v>
      </c>
      <c r="C4" s="6" t="s">
        <v>9</v>
      </c>
      <c r="D4" s="7">
        <f>Parametre!C13</f>
        <v>2025</v>
      </c>
      <c r="E4" s="7">
        <f>$D$4+D3</f>
        <v>2026</v>
      </c>
      <c r="F4" s="7">
        <f>$D$4+E3</f>
        <v>2027</v>
      </c>
      <c r="G4" s="7">
        <f t="shared" ref="G4:AG4" si="0">$D$4+F3</f>
        <v>2028</v>
      </c>
      <c r="H4" s="7">
        <f t="shared" si="0"/>
        <v>2029</v>
      </c>
      <c r="I4" s="7">
        <f t="shared" si="0"/>
        <v>2030</v>
      </c>
      <c r="J4" s="7">
        <f t="shared" si="0"/>
        <v>2031</v>
      </c>
      <c r="K4" s="7">
        <f t="shared" si="0"/>
        <v>2032</v>
      </c>
      <c r="L4" s="7">
        <f t="shared" si="0"/>
        <v>2033</v>
      </c>
      <c r="M4" s="7">
        <f t="shared" si="0"/>
        <v>2034</v>
      </c>
      <c r="N4" s="7">
        <f t="shared" si="0"/>
        <v>2035</v>
      </c>
      <c r="O4" s="7">
        <f t="shared" si="0"/>
        <v>2036</v>
      </c>
      <c r="P4" s="7">
        <f t="shared" si="0"/>
        <v>2037</v>
      </c>
      <c r="Q4" s="7">
        <f t="shared" si="0"/>
        <v>2038</v>
      </c>
      <c r="R4" s="7">
        <f t="shared" si="0"/>
        <v>2039</v>
      </c>
      <c r="S4" s="7">
        <f t="shared" si="0"/>
        <v>2040</v>
      </c>
      <c r="T4" s="7">
        <f t="shared" si="0"/>
        <v>2041</v>
      </c>
      <c r="U4" s="7">
        <f t="shared" si="0"/>
        <v>2042</v>
      </c>
      <c r="V4" s="7">
        <f t="shared" si="0"/>
        <v>2043</v>
      </c>
      <c r="W4" s="7">
        <f t="shared" si="0"/>
        <v>2044</v>
      </c>
      <c r="X4" s="7">
        <f t="shared" si="0"/>
        <v>2045</v>
      </c>
      <c r="Y4" s="7">
        <f t="shared" si="0"/>
        <v>2046</v>
      </c>
      <c r="Z4" s="7">
        <f t="shared" si="0"/>
        <v>2047</v>
      </c>
      <c r="AA4" s="7">
        <f t="shared" si="0"/>
        <v>2048</v>
      </c>
      <c r="AB4" s="7">
        <f t="shared" si="0"/>
        <v>2049</v>
      </c>
      <c r="AC4" s="7">
        <f t="shared" si="0"/>
        <v>2050</v>
      </c>
      <c r="AD4" s="7">
        <f t="shared" si="0"/>
        <v>2051</v>
      </c>
      <c r="AE4" s="7">
        <f t="shared" si="0"/>
        <v>2052</v>
      </c>
      <c r="AF4" s="7">
        <f t="shared" si="0"/>
        <v>2053</v>
      </c>
      <c r="AG4" s="7">
        <f t="shared" si="0"/>
        <v>2054</v>
      </c>
      <c r="AH4" s="7">
        <f t="shared" ref="AH4" si="1">$D$4+AG3</f>
        <v>2055</v>
      </c>
      <c r="AI4" s="7">
        <f t="shared" ref="AI4" si="2">$D$4+AH3</f>
        <v>2056</v>
      </c>
      <c r="AJ4" s="7">
        <f t="shared" ref="AJ4" si="3">$D$4+AI3</f>
        <v>2057</v>
      </c>
      <c r="AK4" s="7">
        <f t="shared" ref="AK4" si="4">$D$4+AJ3</f>
        <v>2058</v>
      </c>
      <c r="AL4" s="7">
        <f t="shared" ref="AL4" si="5">$D$4+AK3</f>
        <v>2059</v>
      </c>
    </row>
    <row r="5" spans="2:38" x14ac:dyDescent="0.2">
      <c r="B5" s="3" t="s">
        <v>275</v>
      </c>
      <c r="C5" s="8">
        <f>SUM(D5:AL5)</f>
        <v>143257424.25725439</v>
      </c>
      <c r="D5" s="9">
        <f>Vstupy!C17*Vstupy!$G$73</f>
        <v>4129550.5215018122</v>
      </c>
      <c r="E5" s="9">
        <f>Vstupy!D17*Vstupy!$G$73</f>
        <v>4133680.0720233135</v>
      </c>
      <c r="F5" s="9">
        <f>Vstupy!E17*Vstupy!$G$73</f>
        <v>4137813.7520953361</v>
      </c>
      <c r="G5" s="9">
        <f>Vstupy!F17*Vstupy!$G$73</f>
        <v>4137813.7520953361</v>
      </c>
      <c r="H5" s="9">
        <f>Vstupy!G17*Vstupy!$G$73</f>
        <v>4137813.7520953361</v>
      </c>
      <c r="I5" s="9">
        <f>Vstupy!H17*Vstupy!$G$73</f>
        <v>4137813.7520953361</v>
      </c>
      <c r="J5" s="9">
        <f>Vstupy!I17*Vstupy!$G$73</f>
        <v>4137813.7520953361</v>
      </c>
      <c r="K5" s="9">
        <f>Vstupy!J17*Vstupy!$G$73</f>
        <v>4137813.7520953361</v>
      </c>
      <c r="L5" s="9">
        <f>Vstupy!K17*Vstupy!$G$73</f>
        <v>4137813.7520953361</v>
      </c>
      <c r="M5" s="9">
        <f>Vstupy!L17*Vstupy!$G$73</f>
        <v>4137813.7520953361</v>
      </c>
      <c r="N5" s="9">
        <f>Vstupy!M17*Vstupy!$G$73</f>
        <v>4137813.7520953361</v>
      </c>
      <c r="O5" s="9">
        <f>Vstupy!N17*Vstupy!$G$73</f>
        <v>4137813.7520953361</v>
      </c>
      <c r="P5" s="9">
        <f>Vstupy!O17*Vstupy!$G$73</f>
        <v>4137813.7520953361</v>
      </c>
      <c r="Q5" s="9">
        <f>Vstupy!P17*Vstupy!$G$73</f>
        <v>4137813.7520953361</v>
      </c>
      <c r="R5" s="9">
        <f>Vstupy!Q17*Vstupy!$G$73</f>
        <v>4137813.7520953361</v>
      </c>
      <c r="S5" s="9">
        <f>Vstupy!R17*Vstupy!$G$73</f>
        <v>4137813.7520953361</v>
      </c>
      <c r="T5" s="9">
        <f>Vstupy!S17*Vstupy!$G$73</f>
        <v>4129538.1245911457</v>
      </c>
      <c r="U5" s="9">
        <f>Vstupy!T17*Vstupy!$G$73</f>
        <v>4121279.0483419634</v>
      </c>
      <c r="V5" s="9">
        <f>Vstupy!U17*Vstupy!$G$73</f>
        <v>4113036.4902452799</v>
      </c>
      <c r="W5" s="9">
        <f>Vstupy!V17*Vstupy!$G$73</f>
        <v>4104810.4172647893</v>
      </c>
      <c r="X5" s="9">
        <f>Vstupy!W17*Vstupy!$G$73</f>
        <v>4096600.7964302595</v>
      </c>
      <c r="Y5" s="9">
        <f>Vstupy!X17*Vstupy!$G$73</f>
        <v>4088407.5948373987</v>
      </c>
      <c r="Z5" s="9">
        <f>Vstupy!Y17*Vstupy!$G$73</f>
        <v>4080230.7796477238</v>
      </c>
      <c r="AA5" s="9">
        <f>Vstupy!Z17*Vstupy!$G$73</f>
        <v>4072070.3180884281</v>
      </c>
      <c r="AB5" s="9">
        <f>Vstupy!AA17*Vstupy!$G$73</f>
        <v>4063926.1774522513</v>
      </c>
      <c r="AC5" s="9">
        <f>Vstupy!AB17*Vstupy!$G$73</f>
        <v>4055798.3250973467</v>
      </c>
      <c r="AD5" s="9">
        <f>Vstupy!AC17*Vstupy!$G$73</f>
        <v>4047686.7284471518</v>
      </c>
      <c r="AE5" s="9">
        <f>Vstupy!AD17*Vstupy!$G$73</f>
        <v>4039591.3549902574</v>
      </c>
      <c r="AF5" s="9">
        <f>Vstupy!AE17*Vstupy!$G$73</f>
        <v>4031512.1722802771</v>
      </c>
      <c r="AG5" s="9">
        <f>Vstupy!AF17*Vstupy!$G$73</f>
        <v>4023449.1479357164</v>
      </c>
      <c r="AH5" s="9">
        <f>Vstupy!AG17*Vstupy!$G$73</f>
        <v>4015402.249639845</v>
      </c>
      <c r="AI5" s="9">
        <f>Vstupy!AH17*Vstupy!$G$73</f>
        <v>4007371.4451405653</v>
      </c>
      <c r="AJ5" s="9">
        <f>Vstupy!AI17*Vstupy!$G$73</f>
        <v>3999356.7022502846</v>
      </c>
      <c r="AK5" s="9">
        <f>Vstupy!AJ17*Vstupy!$G$73</f>
        <v>3991357.9888457838</v>
      </c>
      <c r="AL5" s="9">
        <f>Vstupy!AK17*Vstupy!$G$73</f>
        <v>3983375.2728680922</v>
      </c>
    </row>
    <row r="6" spans="2:38" x14ac:dyDescent="0.2">
      <c r="B6" s="3" t="s">
        <v>53</v>
      </c>
      <c r="C6" s="8">
        <f t="shared" ref="C6:C7" si="6">SUM(D6:AL6)</f>
        <v>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2:38" x14ac:dyDescent="0.2">
      <c r="B7" s="4" t="s">
        <v>11</v>
      </c>
      <c r="C7" s="13">
        <f t="shared" si="6"/>
        <v>143257424.25725439</v>
      </c>
      <c r="D7" s="13">
        <f>SUM(D5:D6)</f>
        <v>4129550.5215018122</v>
      </c>
      <c r="E7" s="13">
        <f t="shared" ref="E7:AG7" si="7">SUM(E5:E6)</f>
        <v>4133680.0720233135</v>
      </c>
      <c r="F7" s="13">
        <f t="shared" si="7"/>
        <v>4137813.7520953361</v>
      </c>
      <c r="G7" s="13">
        <f t="shared" si="7"/>
        <v>4137813.7520953361</v>
      </c>
      <c r="H7" s="13">
        <f t="shared" si="7"/>
        <v>4137813.7520953361</v>
      </c>
      <c r="I7" s="13">
        <f t="shared" si="7"/>
        <v>4137813.7520953361</v>
      </c>
      <c r="J7" s="13">
        <f t="shared" si="7"/>
        <v>4137813.7520953361</v>
      </c>
      <c r="K7" s="13">
        <f t="shared" si="7"/>
        <v>4137813.7520953361</v>
      </c>
      <c r="L7" s="13">
        <f t="shared" si="7"/>
        <v>4137813.7520953361</v>
      </c>
      <c r="M7" s="13">
        <f t="shared" si="7"/>
        <v>4137813.7520953361</v>
      </c>
      <c r="N7" s="13">
        <f t="shared" si="7"/>
        <v>4137813.7520953361</v>
      </c>
      <c r="O7" s="13">
        <f t="shared" si="7"/>
        <v>4137813.7520953361</v>
      </c>
      <c r="P7" s="13">
        <f t="shared" si="7"/>
        <v>4137813.7520953361</v>
      </c>
      <c r="Q7" s="13">
        <f t="shared" si="7"/>
        <v>4137813.7520953361</v>
      </c>
      <c r="R7" s="13">
        <f t="shared" si="7"/>
        <v>4137813.7520953361</v>
      </c>
      <c r="S7" s="13">
        <f t="shared" si="7"/>
        <v>4137813.7520953361</v>
      </c>
      <c r="T7" s="13">
        <f t="shared" si="7"/>
        <v>4129538.1245911457</v>
      </c>
      <c r="U7" s="13">
        <f t="shared" si="7"/>
        <v>4121279.0483419634</v>
      </c>
      <c r="V7" s="13">
        <f t="shared" si="7"/>
        <v>4113036.4902452799</v>
      </c>
      <c r="W7" s="13">
        <f t="shared" si="7"/>
        <v>4104810.4172647893</v>
      </c>
      <c r="X7" s="13">
        <f t="shared" si="7"/>
        <v>4096600.7964302595</v>
      </c>
      <c r="Y7" s="13">
        <f t="shared" si="7"/>
        <v>4088407.5948373987</v>
      </c>
      <c r="Z7" s="13">
        <f t="shared" si="7"/>
        <v>4080230.7796477238</v>
      </c>
      <c r="AA7" s="13">
        <f t="shared" si="7"/>
        <v>4072070.3180884281</v>
      </c>
      <c r="AB7" s="13">
        <f t="shared" si="7"/>
        <v>4063926.1774522513</v>
      </c>
      <c r="AC7" s="13">
        <f t="shared" si="7"/>
        <v>4055798.3250973467</v>
      </c>
      <c r="AD7" s="13">
        <f t="shared" si="7"/>
        <v>4047686.7284471518</v>
      </c>
      <c r="AE7" s="13">
        <f t="shared" si="7"/>
        <v>4039591.3549902574</v>
      </c>
      <c r="AF7" s="13">
        <f t="shared" si="7"/>
        <v>4031512.1722802771</v>
      </c>
      <c r="AG7" s="13">
        <f t="shared" si="7"/>
        <v>4023449.1479357164</v>
      </c>
      <c r="AH7" s="13">
        <f t="shared" ref="AH7:AL7" si="8">SUM(AH5:AH6)</f>
        <v>4015402.249639845</v>
      </c>
      <c r="AI7" s="13">
        <f t="shared" si="8"/>
        <v>4007371.4451405653</v>
      </c>
      <c r="AJ7" s="13">
        <f t="shared" si="8"/>
        <v>3999356.7022502846</v>
      </c>
      <c r="AK7" s="13">
        <f t="shared" si="8"/>
        <v>3991357.9888457838</v>
      </c>
      <c r="AL7" s="13">
        <f t="shared" si="8"/>
        <v>3983375.2728680922</v>
      </c>
    </row>
    <row r="10" spans="2:38" x14ac:dyDescent="0.2">
      <c r="B10" s="3"/>
      <c r="C10" s="3"/>
      <c r="D10" s="3" t="s">
        <v>10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2:38" x14ac:dyDescent="0.2">
      <c r="B11" s="4" t="s">
        <v>198</v>
      </c>
      <c r="C11" s="4"/>
      <c r="D11" s="3">
        <v>1</v>
      </c>
      <c r="E11" s="3">
        <v>2</v>
      </c>
      <c r="F11" s="3">
        <v>3</v>
      </c>
      <c r="G11" s="3">
        <v>4</v>
      </c>
      <c r="H11" s="3">
        <v>5</v>
      </c>
      <c r="I11" s="3">
        <v>6</v>
      </c>
      <c r="J11" s="3">
        <v>7</v>
      </c>
      <c r="K11" s="3">
        <v>8</v>
      </c>
      <c r="L11" s="3">
        <v>9</v>
      </c>
      <c r="M11" s="3">
        <v>10</v>
      </c>
      <c r="N11" s="3">
        <v>11</v>
      </c>
      <c r="O11" s="3">
        <v>12</v>
      </c>
      <c r="P11" s="3">
        <v>13</v>
      </c>
      <c r="Q11" s="3">
        <v>14</v>
      </c>
      <c r="R11" s="3">
        <v>15</v>
      </c>
      <c r="S11" s="3">
        <v>16</v>
      </c>
      <c r="T11" s="3">
        <v>17</v>
      </c>
      <c r="U11" s="3">
        <v>18</v>
      </c>
      <c r="V11" s="3">
        <v>19</v>
      </c>
      <c r="W11" s="3">
        <v>20</v>
      </c>
      <c r="X11" s="3">
        <v>21</v>
      </c>
      <c r="Y11" s="3">
        <v>22</v>
      </c>
      <c r="Z11" s="3">
        <v>23</v>
      </c>
      <c r="AA11" s="3">
        <v>24</v>
      </c>
      <c r="AB11" s="3">
        <v>25</v>
      </c>
      <c r="AC11" s="3">
        <v>26</v>
      </c>
      <c r="AD11" s="3">
        <v>27</v>
      </c>
      <c r="AE11" s="3">
        <v>28</v>
      </c>
      <c r="AF11" s="3">
        <v>29</v>
      </c>
      <c r="AG11" s="3">
        <v>30</v>
      </c>
      <c r="AH11" s="3">
        <v>31</v>
      </c>
      <c r="AI11" s="3">
        <v>32</v>
      </c>
      <c r="AJ11" s="3">
        <v>33</v>
      </c>
      <c r="AK11" s="3">
        <v>34</v>
      </c>
      <c r="AL11" s="3">
        <v>35</v>
      </c>
    </row>
    <row r="12" spans="2:38" x14ac:dyDescent="0.2">
      <c r="B12" s="6" t="s">
        <v>34</v>
      </c>
      <c r="C12" s="6" t="s">
        <v>9</v>
      </c>
      <c r="D12" s="7">
        <f>D4</f>
        <v>2025</v>
      </c>
      <c r="E12" s="7">
        <f>E4</f>
        <v>2026</v>
      </c>
      <c r="F12" s="7">
        <f>F4</f>
        <v>2027</v>
      </c>
      <c r="G12" s="7">
        <f t="shared" ref="G12:AG12" si="9">G4</f>
        <v>2028</v>
      </c>
      <c r="H12" s="7">
        <f t="shared" si="9"/>
        <v>2029</v>
      </c>
      <c r="I12" s="7">
        <f t="shared" si="9"/>
        <v>2030</v>
      </c>
      <c r="J12" s="7">
        <f t="shared" si="9"/>
        <v>2031</v>
      </c>
      <c r="K12" s="7">
        <f t="shared" si="9"/>
        <v>2032</v>
      </c>
      <c r="L12" s="7">
        <f t="shared" si="9"/>
        <v>2033</v>
      </c>
      <c r="M12" s="7">
        <f t="shared" si="9"/>
        <v>2034</v>
      </c>
      <c r="N12" s="7">
        <f t="shared" si="9"/>
        <v>2035</v>
      </c>
      <c r="O12" s="7">
        <f t="shared" si="9"/>
        <v>2036</v>
      </c>
      <c r="P12" s="7">
        <f t="shared" si="9"/>
        <v>2037</v>
      </c>
      <c r="Q12" s="7">
        <f t="shared" si="9"/>
        <v>2038</v>
      </c>
      <c r="R12" s="7">
        <f t="shared" si="9"/>
        <v>2039</v>
      </c>
      <c r="S12" s="7">
        <f t="shared" si="9"/>
        <v>2040</v>
      </c>
      <c r="T12" s="7">
        <f t="shared" si="9"/>
        <v>2041</v>
      </c>
      <c r="U12" s="7">
        <f t="shared" si="9"/>
        <v>2042</v>
      </c>
      <c r="V12" s="7">
        <f t="shared" si="9"/>
        <v>2043</v>
      </c>
      <c r="W12" s="7">
        <f t="shared" si="9"/>
        <v>2044</v>
      </c>
      <c r="X12" s="7">
        <f t="shared" si="9"/>
        <v>2045</v>
      </c>
      <c r="Y12" s="7">
        <f t="shared" si="9"/>
        <v>2046</v>
      </c>
      <c r="Z12" s="7">
        <f t="shared" si="9"/>
        <v>2047</v>
      </c>
      <c r="AA12" s="7">
        <f t="shared" si="9"/>
        <v>2048</v>
      </c>
      <c r="AB12" s="7">
        <f t="shared" si="9"/>
        <v>2049</v>
      </c>
      <c r="AC12" s="7">
        <f t="shared" si="9"/>
        <v>2050</v>
      </c>
      <c r="AD12" s="7">
        <f t="shared" si="9"/>
        <v>2051</v>
      </c>
      <c r="AE12" s="7">
        <f t="shared" si="9"/>
        <v>2052</v>
      </c>
      <c r="AF12" s="7">
        <f t="shared" si="9"/>
        <v>2053</v>
      </c>
      <c r="AG12" s="7">
        <f t="shared" si="9"/>
        <v>2054</v>
      </c>
      <c r="AH12" s="7">
        <f t="shared" ref="AH12:AL12" si="10">AH4</f>
        <v>2055</v>
      </c>
      <c r="AI12" s="7">
        <f t="shared" si="10"/>
        <v>2056</v>
      </c>
      <c r="AJ12" s="7">
        <f t="shared" si="10"/>
        <v>2057</v>
      </c>
      <c r="AK12" s="7">
        <f t="shared" si="10"/>
        <v>2058</v>
      </c>
      <c r="AL12" s="7">
        <f t="shared" si="10"/>
        <v>2059</v>
      </c>
    </row>
    <row r="13" spans="2:38" x14ac:dyDescent="0.2">
      <c r="B13" s="3" t="s">
        <v>275</v>
      </c>
      <c r="C13" s="8">
        <f>SUM(D13:AL13)</f>
        <v>148121010.51766366</v>
      </c>
      <c r="D13" s="9">
        <f>Vstupy!C41*Vstupy!$G$73</f>
        <v>4129550.5215018122</v>
      </c>
      <c r="E13" s="9">
        <f>Vstupy!D41*Vstupy!$G$73</f>
        <v>4133680.0720233135</v>
      </c>
      <c r="F13" s="9">
        <f>Vstupy!E41*Vstupy!$G$73</f>
        <v>4137813.7520953361</v>
      </c>
      <c r="G13" s="9">
        <f>Vstupy!F41*Vstupy!$G$73</f>
        <v>4291605.3679600982</v>
      </c>
      <c r="H13" s="9">
        <f>Vstupy!G41*Vstupy!$G$73</f>
        <v>4291605.3679600982</v>
      </c>
      <c r="I13" s="9">
        <f>Vstupy!H41*Vstupy!$G$73</f>
        <v>4291605.3679600982</v>
      </c>
      <c r="J13" s="9">
        <f>Vstupy!I41*Vstupy!$G$73</f>
        <v>4291605.3679600982</v>
      </c>
      <c r="K13" s="9">
        <f>Vstupy!J41*Vstupy!$G$73</f>
        <v>4291605.3679600982</v>
      </c>
      <c r="L13" s="9">
        <f>Vstupy!K41*Vstupy!$G$73</f>
        <v>4291605.3679600982</v>
      </c>
      <c r="M13" s="9">
        <f>Vstupy!L41*Vstupy!$G$73</f>
        <v>4291605.3679600982</v>
      </c>
      <c r="N13" s="9">
        <f>Vstupy!M41*Vstupy!$G$73</f>
        <v>4291605.3679600982</v>
      </c>
      <c r="O13" s="9">
        <f>Vstupy!N41*Vstupy!$G$73</f>
        <v>4291605.3679600982</v>
      </c>
      <c r="P13" s="9">
        <f>Vstupy!O41*Vstupy!$G$73</f>
        <v>4291605.3679600982</v>
      </c>
      <c r="Q13" s="9">
        <f>Vstupy!P41*Vstupy!$G$73</f>
        <v>4291605.3679600982</v>
      </c>
      <c r="R13" s="9">
        <f>Vstupy!Q41*Vstupy!$G$73</f>
        <v>4291605.3679600982</v>
      </c>
      <c r="S13" s="9">
        <f>Vstupy!R41*Vstupy!$G$73</f>
        <v>4291605.3679600982</v>
      </c>
      <c r="T13" s="9">
        <f>Vstupy!S41*Vstupy!$G$73</f>
        <v>4283022.1572241783</v>
      </c>
      <c r="U13" s="9">
        <f>Vstupy!T41*Vstupy!$G$73</f>
        <v>4274456.1129097296</v>
      </c>
      <c r="V13" s="9">
        <f>Vstupy!U41*Vstupy!$G$73</f>
        <v>4265907.2006839104</v>
      </c>
      <c r="W13" s="9">
        <f>Vstupy!V41*Vstupy!$G$73</f>
        <v>4257375.3862825427</v>
      </c>
      <c r="X13" s="9">
        <f>Vstupy!W41*Vstupy!$G$73</f>
        <v>4248860.6355099771</v>
      </c>
      <c r="Y13" s="9">
        <f>Vstupy!X41*Vstupy!$G$73</f>
        <v>4240362.9142389568</v>
      </c>
      <c r="Z13" s="9">
        <f>Vstupy!Y41*Vstupy!$G$73</f>
        <v>4231882.1884104796</v>
      </c>
      <c r="AA13" s="9">
        <f>Vstupy!Z41*Vstupy!$G$73</f>
        <v>4223418.4240336586</v>
      </c>
      <c r="AB13" s="9">
        <f>Vstupy!AA41*Vstupy!$G$73</f>
        <v>4214971.5871855905</v>
      </c>
      <c r="AC13" s="9">
        <f>Vstupy!AB41*Vstupy!$G$73</f>
        <v>4206541.644011219</v>
      </c>
      <c r="AD13" s="9">
        <f>Vstupy!AC41*Vstupy!$G$73</f>
        <v>4198128.5607231967</v>
      </c>
      <c r="AE13" s="9">
        <f>Vstupy!AD41*Vstupy!$G$73</f>
        <v>4189732.3036017502</v>
      </c>
      <c r="AF13" s="9">
        <f>Vstupy!AE41*Vstupy!$G$73</f>
        <v>4181352.8389945468</v>
      </c>
      <c r="AG13" s="9">
        <f>Vstupy!AF41*Vstupy!$G$73</f>
        <v>4172990.1333165583</v>
      </c>
      <c r="AH13" s="9">
        <f>Vstupy!AG41*Vstupy!$G$73</f>
        <v>4164644.1530499249</v>
      </c>
      <c r="AI13" s="9">
        <f>Vstupy!AH41*Vstupy!$G$73</f>
        <v>4156314.864743825</v>
      </c>
      <c r="AJ13" s="9">
        <f>Vstupy!AI41*Vstupy!$G$73</f>
        <v>4148002.2350143376</v>
      </c>
      <c r="AK13" s="9">
        <f>Vstupy!AJ41*Vstupy!$G$73</f>
        <v>4139706.2305443087</v>
      </c>
      <c r="AL13" s="9">
        <f>Vstupy!AK41*Vstupy!$G$73</f>
        <v>4131426.8180832202</v>
      </c>
    </row>
    <row r="14" spans="2:38" x14ac:dyDescent="0.2">
      <c r="B14" s="3" t="s">
        <v>53</v>
      </c>
      <c r="C14" s="8">
        <f t="shared" ref="C14:C15" si="11">SUM(D14:AL14)</f>
        <v>0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2:38" x14ac:dyDescent="0.2">
      <c r="B15" s="4" t="s">
        <v>11</v>
      </c>
      <c r="C15" s="13">
        <f t="shared" si="11"/>
        <v>148121010.51766366</v>
      </c>
      <c r="D15" s="13">
        <f>SUM(D13:D14)</f>
        <v>4129550.5215018122</v>
      </c>
      <c r="E15" s="13">
        <f t="shared" ref="E15:AG15" si="12">SUM(E13:E14)</f>
        <v>4133680.0720233135</v>
      </c>
      <c r="F15" s="13">
        <f t="shared" si="12"/>
        <v>4137813.7520953361</v>
      </c>
      <c r="G15" s="13">
        <f t="shared" si="12"/>
        <v>4291605.3679600982</v>
      </c>
      <c r="H15" s="13">
        <f t="shared" si="12"/>
        <v>4291605.3679600982</v>
      </c>
      <c r="I15" s="13">
        <f t="shared" si="12"/>
        <v>4291605.3679600982</v>
      </c>
      <c r="J15" s="13">
        <f t="shared" si="12"/>
        <v>4291605.3679600982</v>
      </c>
      <c r="K15" s="13">
        <f t="shared" si="12"/>
        <v>4291605.3679600982</v>
      </c>
      <c r="L15" s="13">
        <f t="shared" si="12"/>
        <v>4291605.3679600982</v>
      </c>
      <c r="M15" s="13">
        <f t="shared" si="12"/>
        <v>4291605.3679600982</v>
      </c>
      <c r="N15" s="13">
        <f t="shared" si="12"/>
        <v>4291605.3679600982</v>
      </c>
      <c r="O15" s="13">
        <f t="shared" si="12"/>
        <v>4291605.3679600982</v>
      </c>
      <c r="P15" s="13">
        <f t="shared" si="12"/>
        <v>4291605.3679600982</v>
      </c>
      <c r="Q15" s="13">
        <f t="shared" si="12"/>
        <v>4291605.3679600982</v>
      </c>
      <c r="R15" s="13">
        <f t="shared" si="12"/>
        <v>4291605.3679600982</v>
      </c>
      <c r="S15" s="13">
        <f t="shared" si="12"/>
        <v>4291605.3679600982</v>
      </c>
      <c r="T15" s="13">
        <f t="shared" si="12"/>
        <v>4283022.1572241783</v>
      </c>
      <c r="U15" s="13">
        <f t="shared" si="12"/>
        <v>4274456.1129097296</v>
      </c>
      <c r="V15" s="13">
        <f t="shared" si="12"/>
        <v>4265907.2006839104</v>
      </c>
      <c r="W15" s="13">
        <f t="shared" si="12"/>
        <v>4257375.3862825427</v>
      </c>
      <c r="X15" s="13">
        <f t="shared" si="12"/>
        <v>4248860.6355099771</v>
      </c>
      <c r="Y15" s="13">
        <f t="shared" si="12"/>
        <v>4240362.9142389568</v>
      </c>
      <c r="Z15" s="13">
        <f t="shared" si="12"/>
        <v>4231882.1884104796</v>
      </c>
      <c r="AA15" s="13">
        <f t="shared" si="12"/>
        <v>4223418.4240336586</v>
      </c>
      <c r="AB15" s="13">
        <f t="shared" si="12"/>
        <v>4214971.5871855905</v>
      </c>
      <c r="AC15" s="13">
        <f t="shared" si="12"/>
        <v>4206541.644011219</v>
      </c>
      <c r="AD15" s="13">
        <f t="shared" si="12"/>
        <v>4198128.5607231967</v>
      </c>
      <c r="AE15" s="13">
        <f t="shared" si="12"/>
        <v>4189732.3036017502</v>
      </c>
      <c r="AF15" s="13">
        <f t="shared" si="12"/>
        <v>4181352.8389945468</v>
      </c>
      <c r="AG15" s="13">
        <f t="shared" si="12"/>
        <v>4172990.1333165583</v>
      </c>
      <c r="AH15" s="13">
        <f t="shared" ref="AH15:AL15" si="13">SUM(AH13:AH14)</f>
        <v>4164644.1530499249</v>
      </c>
      <c r="AI15" s="13">
        <f t="shared" si="13"/>
        <v>4156314.864743825</v>
      </c>
      <c r="AJ15" s="13">
        <f t="shared" si="13"/>
        <v>4148002.2350143376</v>
      </c>
      <c r="AK15" s="13">
        <f t="shared" si="13"/>
        <v>4139706.2305443087</v>
      </c>
      <c r="AL15" s="13">
        <f t="shared" si="13"/>
        <v>4131426.8180832202</v>
      </c>
    </row>
    <row r="18" spans="2:38" x14ac:dyDescent="0.2">
      <c r="B18" s="3"/>
      <c r="C18" s="3"/>
      <c r="D18" s="3" t="s">
        <v>10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2:38" x14ac:dyDescent="0.2">
      <c r="B19" s="4" t="s">
        <v>199</v>
      </c>
      <c r="C19" s="4"/>
      <c r="D19" s="3">
        <v>1</v>
      </c>
      <c r="E19" s="3">
        <v>2</v>
      </c>
      <c r="F19" s="3">
        <v>3</v>
      </c>
      <c r="G19" s="3">
        <v>4</v>
      </c>
      <c r="H19" s="3">
        <v>5</v>
      </c>
      <c r="I19" s="3">
        <v>6</v>
      </c>
      <c r="J19" s="3">
        <v>7</v>
      </c>
      <c r="K19" s="3">
        <v>8</v>
      </c>
      <c r="L19" s="3">
        <v>9</v>
      </c>
      <c r="M19" s="3">
        <v>10</v>
      </c>
      <c r="N19" s="3">
        <v>11</v>
      </c>
      <c r="O19" s="3">
        <v>12</v>
      </c>
      <c r="P19" s="3">
        <v>13</v>
      </c>
      <c r="Q19" s="3">
        <v>14</v>
      </c>
      <c r="R19" s="3">
        <v>15</v>
      </c>
      <c r="S19" s="3">
        <v>16</v>
      </c>
      <c r="T19" s="3">
        <v>17</v>
      </c>
      <c r="U19" s="3">
        <v>18</v>
      </c>
      <c r="V19" s="3">
        <v>19</v>
      </c>
      <c r="W19" s="3">
        <v>20</v>
      </c>
      <c r="X19" s="3">
        <v>21</v>
      </c>
      <c r="Y19" s="3">
        <v>22</v>
      </c>
      <c r="Z19" s="3">
        <v>23</v>
      </c>
      <c r="AA19" s="3">
        <v>24</v>
      </c>
      <c r="AB19" s="3">
        <v>25</v>
      </c>
      <c r="AC19" s="3">
        <v>26</v>
      </c>
      <c r="AD19" s="3">
        <v>27</v>
      </c>
      <c r="AE19" s="3">
        <v>28</v>
      </c>
      <c r="AF19" s="3">
        <v>29</v>
      </c>
      <c r="AG19" s="3">
        <v>30</v>
      </c>
      <c r="AH19" s="3">
        <v>31</v>
      </c>
      <c r="AI19" s="3">
        <v>32</v>
      </c>
      <c r="AJ19" s="3">
        <v>33</v>
      </c>
      <c r="AK19" s="3">
        <v>34</v>
      </c>
      <c r="AL19" s="3">
        <v>35</v>
      </c>
    </row>
    <row r="20" spans="2:38" x14ac:dyDescent="0.2">
      <c r="B20" s="155" t="s">
        <v>200</v>
      </c>
      <c r="C20" s="155" t="s">
        <v>9</v>
      </c>
      <c r="D20" s="287">
        <f>D4</f>
        <v>2025</v>
      </c>
      <c r="E20" s="287">
        <f t="shared" ref="E20:AG20" si="14">E4</f>
        <v>2026</v>
      </c>
      <c r="F20" s="287">
        <f t="shared" si="14"/>
        <v>2027</v>
      </c>
      <c r="G20" s="287">
        <f t="shared" si="14"/>
        <v>2028</v>
      </c>
      <c r="H20" s="287">
        <f t="shared" si="14"/>
        <v>2029</v>
      </c>
      <c r="I20" s="287">
        <f t="shared" si="14"/>
        <v>2030</v>
      </c>
      <c r="J20" s="287">
        <f t="shared" si="14"/>
        <v>2031</v>
      </c>
      <c r="K20" s="287">
        <f t="shared" si="14"/>
        <v>2032</v>
      </c>
      <c r="L20" s="287">
        <f t="shared" si="14"/>
        <v>2033</v>
      </c>
      <c r="M20" s="287">
        <f t="shared" si="14"/>
        <v>2034</v>
      </c>
      <c r="N20" s="287">
        <f t="shared" si="14"/>
        <v>2035</v>
      </c>
      <c r="O20" s="287">
        <f t="shared" si="14"/>
        <v>2036</v>
      </c>
      <c r="P20" s="287">
        <f t="shared" si="14"/>
        <v>2037</v>
      </c>
      <c r="Q20" s="287">
        <f t="shared" si="14"/>
        <v>2038</v>
      </c>
      <c r="R20" s="287">
        <f t="shared" si="14"/>
        <v>2039</v>
      </c>
      <c r="S20" s="287">
        <f t="shared" si="14"/>
        <v>2040</v>
      </c>
      <c r="T20" s="287">
        <f t="shared" si="14"/>
        <v>2041</v>
      </c>
      <c r="U20" s="287">
        <f t="shared" si="14"/>
        <v>2042</v>
      </c>
      <c r="V20" s="287">
        <f t="shared" si="14"/>
        <v>2043</v>
      </c>
      <c r="W20" s="287">
        <f t="shared" si="14"/>
        <v>2044</v>
      </c>
      <c r="X20" s="287">
        <f t="shared" si="14"/>
        <v>2045</v>
      </c>
      <c r="Y20" s="287">
        <f t="shared" si="14"/>
        <v>2046</v>
      </c>
      <c r="Z20" s="287">
        <f t="shared" si="14"/>
        <v>2047</v>
      </c>
      <c r="AA20" s="287">
        <f t="shared" si="14"/>
        <v>2048</v>
      </c>
      <c r="AB20" s="287">
        <f t="shared" si="14"/>
        <v>2049</v>
      </c>
      <c r="AC20" s="287">
        <f t="shared" si="14"/>
        <v>2050</v>
      </c>
      <c r="AD20" s="287">
        <f t="shared" si="14"/>
        <v>2051</v>
      </c>
      <c r="AE20" s="287">
        <f t="shared" si="14"/>
        <v>2052</v>
      </c>
      <c r="AF20" s="287">
        <f t="shared" si="14"/>
        <v>2053</v>
      </c>
      <c r="AG20" s="287">
        <f t="shared" si="14"/>
        <v>2054</v>
      </c>
      <c r="AH20" s="287">
        <f t="shared" ref="AH20:AL20" si="15">AH4</f>
        <v>2055</v>
      </c>
      <c r="AI20" s="287">
        <f t="shared" si="15"/>
        <v>2056</v>
      </c>
      <c r="AJ20" s="287">
        <f t="shared" si="15"/>
        <v>2057</v>
      </c>
      <c r="AK20" s="287">
        <f t="shared" si="15"/>
        <v>2058</v>
      </c>
      <c r="AL20" s="287">
        <f t="shared" si="15"/>
        <v>2059</v>
      </c>
    </row>
    <row r="21" spans="2:38" x14ac:dyDescent="0.2">
      <c r="B21" s="3" t="s">
        <v>275</v>
      </c>
      <c r="C21" s="8">
        <f>SUM(D21:AL21)</f>
        <v>4863586.2604092592</v>
      </c>
      <c r="D21" s="8">
        <f>D13-D5</f>
        <v>0</v>
      </c>
      <c r="E21" s="8">
        <f t="shared" ref="E21:AG21" si="16">E13-E5</f>
        <v>0</v>
      </c>
      <c r="F21" s="8">
        <f t="shared" si="16"/>
        <v>0</v>
      </c>
      <c r="G21" s="8">
        <f t="shared" si="16"/>
        <v>153791.61586476211</v>
      </c>
      <c r="H21" s="8">
        <f t="shared" si="16"/>
        <v>153791.61586476211</v>
      </c>
      <c r="I21" s="8">
        <f t="shared" si="16"/>
        <v>153791.61586476211</v>
      </c>
      <c r="J21" s="8">
        <f t="shared" si="16"/>
        <v>153791.61586476211</v>
      </c>
      <c r="K21" s="8">
        <f t="shared" si="16"/>
        <v>153791.61586476211</v>
      </c>
      <c r="L21" s="8">
        <f t="shared" si="16"/>
        <v>153791.61586476211</v>
      </c>
      <c r="M21" s="8">
        <f t="shared" si="16"/>
        <v>153791.61586476211</v>
      </c>
      <c r="N21" s="8">
        <f t="shared" si="16"/>
        <v>153791.61586476211</v>
      </c>
      <c r="O21" s="8">
        <f t="shared" si="16"/>
        <v>153791.61586476211</v>
      </c>
      <c r="P21" s="8">
        <f t="shared" si="16"/>
        <v>153791.61586476211</v>
      </c>
      <c r="Q21" s="8">
        <f t="shared" si="16"/>
        <v>153791.61586476211</v>
      </c>
      <c r="R21" s="8">
        <f t="shared" si="16"/>
        <v>153791.61586476211</v>
      </c>
      <c r="S21" s="8">
        <f t="shared" si="16"/>
        <v>153791.61586476211</v>
      </c>
      <c r="T21" s="8">
        <f t="shared" si="16"/>
        <v>153484.03263303265</v>
      </c>
      <c r="U21" s="8">
        <f t="shared" si="16"/>
        <v>153177.06456776615</v>
      </c>
      <c r="V21" s="8">
        <f t="shared" si="16"/>
        <v>152870.71043863054</v>
      </c>
      <c r="W21" s="8">
        <f t="shared" si="16"/>
        <v>152564.96901775338</v>
      </c>
      <c r="X21" s="8">
        <f t="shared" si="16"/>
        <v>152259.83907971764</v>
      </c>
      <c r="Y21" s="8">
        <f t="shared" si="16"/>
        <v>151955.31940155802</v>
      </c>
      <c r="Z21" s="8">
        <f t="shared" si="16"/>
        <v>151651.4087627558</v>
      </c>
      <c r="AA21" s="8">
        <f t="shared" si="16"/>
        <v>151348.10594523046</v>
      </c>
      <c r="AB21" s="8">
        <f t="shared" si="16"/>
        <v>151045.40973333921</v>
      </c>
      <c r="AC21" s="8">
        <f t="shared" si="16"/>
        <v>150743.31891387235</v>
      </c>
      <c r="AD21" s="8">
        <f t="shared" si="16"/>
        <v>150441.83227604488</v>
      </c>
      <c r="AE21" s="8">
        <f t="shared" si="16"/>
        <v>150140.94861149276</v>
      </c>
      <c r="AF21" s="8">
        <f t="shared" si="16"/>
        <v>149840.66671426967</v>
      </c>
      <c r="AG21" s="8">
        <f t="shared" si="16"/>
        <v>149540.98538084188</v>
      </c>
      <c r="AH21" s="8">
        <f t="shared" ref="AH21:AL21" si="17">AH13-AH5</f>
        <v>149241.90341007989</v>
      </c>
      <c r="AI21" s="8">
        <f t="shared" si="17"/>
        <v>148943.41960325977</v>
      </c>
      <c r="AJ21" s="8">
        <f t="shared" si="17"/>
        <v>148645.53276405297</v>
      </c>
      <c r="AK21" s="8">
        <f t="shared" si="17"/>
        <v>148348.24169852491</v>
      </c>
      <c r="AL21" s="8">
        <f t="shared" si="17"/>
        <v>148051.54521512799</v>
      </c>
    </row>
    <row r="22" spans="2:38" x14ac:dyDescent="0.2">
      <c r="B22" s="3" t="s">
        <v>53</v>
      </c>
      <c r="C22" s="8">
        <f t="shared" ref="C22:C23" si="18">SUM(D22:AL22)</f>
        <v>0</v>
      </c>
      <c r="D22" s="8">
        <f>D14-D6</f>
        <v>0</v>
      </c>
      <c r="E22" s="8">
        <f t="shared" ref="E22:AG22" si="19">E14-E6</f>
        <v>0</v>
      </c>
      <c r="F22" s="8">
        <f t="shared" si="19"/>
        <v>0</v>
      </c>
      <c r="G22" s="8">
        <f t="shared" si="19"/>
        <v>0</v>
      </c>
      <c r="H22" s="8">
        <f t="shared" si="19"/>
        <v>0</v>
      </c>
      <c r="I22" s="8">
        <f t="shared" si="19"/>
        <v>0</v>
      </c>
      <c r="J22" s="8">
        <f t="shared" si="19"/>
        <v>0</v>
      </c>
      <c r="K22" s="8">
        <f t="shared" si="19"/>
        <v>0</v>
      </c>
      <c r="L22" s="8">
        <f t="shared" si="19"/>
        <v>0</v>
      </c>
      <c r="M22" s="8">
        <f t="shared" si="19"/>
        <v>0</v>
      </c>
      <c r="N22" s="8">
        <f t="shared" si="19"/>
        <v>0</v>
      </c>
      <c r="O22" s="8">
        <f t="shared" si="19"/>
        <v>0</v>
      </c>
      <c r="P22" s="8">
        <f t="shared" si="19"/>
        <v>0</v>
      </c>
      <c r="Q22" s="8">
        <f t="shared" si="19"/>
        <v>0</v>
      </c>
      <c r="R22" s="8">
        <f t="shared" si="19"/>
        <v>0</v>
      </c>
      <c r="S22" s="8">
        <f t="shared" si="19"/>
        <v>0</v>
      </c>
      <c r="T22" s="8">
        <f t="shared" si="19"/>
        <v>0</v>
      </c>
      <c r="U22" s="8">
        <f t="shared" si="19"/>
        <v>0</v>
      </c>
      <c r="V22" s="8">
        <f t="shared" si="19"/>
        <v>0</v>
      </c>
      <c r="W22" s="8">
        <f t="shared" si="19"/>
        <v>0</v>
      </c>
      <c r="X22" s="8">
        <f t="shared" si="19"/>
        <v>0</v>
      </c>
      <c r="Y22" s="8">
        <f t="shared" si="19"/>
        <v>0</v>
      </c>
      <c r="Z22" s="8">
        <f t="shared" si="19"/>
        <v>0</v>
      </c>
      <c r="AA22" s="8">
        <f t="shared" si="19"/>
        <v>0</v>
      </c>
      <c r="AB22" s="8">
        <f t="shared" si="19"/>
        <v>0</v>
      </c>
      <c r="AC22" s="8">
        <f t="shared" si="19"/>
        <v>0</v>
      </c>
      <c r="AD22" s="8">
        <f t="shared" si="19"/>
        <v>0</v>
      </c>
      <c r="AE22" s="8">
        <f t="shared" si="19"/>
        <v>0</v>
      </c>
      <c r="AF22" s="8">
        <f t="shared" si="19"/>
        <v>0</v>
      </c>
      <c r="AG22" s="8">
        <f t="shared" si="19"/>
        <v>0</v>
      </c>
      <c r="AH22" s="8">
        <f t="shared" ref="AH22:AL22" si="20">AH14-AH6</f>
        <v>0</v>
      </c>
      <c r="AI22" s="8">
        <f t="shared" si="20"/>
        <v>0</v>
      </c>
      <c r="AJ22" s="8">
        <f t="shared" si="20"/>
        <v>0</v>
      </c>
      <c r="AK22" s="8">
        <f t="shared" si="20"/>
        <v>0</v>
      </c>
      <c r="AL22" s="8">
        <f t="shared" si="20"/>
        <v>0</v>
      </c>
    </row>
    <row r="23" spans="2:38" x14ac:dyDescent="0.2">
      <c r="B23" s="4" t="s">
        <v>11</v>
      </c>
      <c r="C23" s="13">
        <f t="shared" si="18"/>
        <v>4863586.2604092592</v>
      </c>
      <c r="D23" s="13">
        <f>SUM(D21:D22)</f>
        <v>0</v>
      </c>
      <c r="E23" s="13">
        <f t="shared" ref="E23:AG23" si="21">SUM(E21:E22)</f>
        <v>0</v>
      </c>
      <c r="F23" s="13">
        <f t="shared" si="21"/>
        <v>0</v>
      </c>
      <c r="G23" s="13">
        <f t="shared" si="21"/>
        <v>153791.61586476211</v>
      </c>
      <c r="H23" s="13">
        <f t="shared" si="21"/>
        <v>153791.61586476211</v>
      </c>
      <c r="I23" s="13">
        <f t="shared" si="21"/>
        <v>153791.61586476211</v>
      </c>
      <c r="J23" s="13">
        <f t="shared" si="21"/>
        <v>153791.61586476211</v>
      </c>
      <c r="K23" s="13">
        <f t="shared" si="21"/>
        <v>153791.61586476211</v>
      </c>
      <c r="L23" s="13">
        <f t="shared" si="21"/>
        <v>153791.61586476211</v>
      </c>
      <c r="M23" s="13">
        <f t="shared" si="21"/>
        <v>153791.61586476211</v>
      </c>
      <c r="N23" s="13">
        <f t="shared" si="21"/>
        <v>153791.61586476211</v>
      </c>
      <c r="O23" s="13">
        <f t="shared" si="21"/>
        <v>153791.61586476211</v>
      </c>
      <c r="P23" s="13">
        <f t="shared" si="21"/>
        <v>153791.61586476211</v>
      </c>
      <c r="Q23" s="13">
        <f t="shared" si="21"/>
        <v>153791.61586476211</v>
      </c>
      <c r="R23" s="13">
        <f t="shared" si="21"/>
        <v>153791.61586476211</v>
      </c>
      <c r="S23" s="13">
        <f t="shared" si="21"/>
        <v>153791.61586476211</v>
      </c>
      <c r="T23" s="13">
        <f t="shared" si="21"/>
        <v>153484.03263303265</v>
      </c>
      <c r="U23" s="13">
        <f t="shared" si="21"/>
        <v>153177.06456776615</v>
      </c>
      <c r="V23" s="13">
        <f t="shared" si="21"/>
        <v>152870.71043863054</v>
      </c>
      <c r="W23" s="13">
        <f t="shared" si="21"/>
        <v>152564.96901775338</v>
      </c>
      <c r="X23" s="13">
        <f t="shared" si="21"/>
        <v>152259.83907971764</v>
      </c>
      <c r="Y23" s="13">
        <f t="shared" si="21"/>
        <v>151955.31940155802</v>
      </c>
      <c r="Z23" s="13">
        <f t="shared" si="21"/>
        <v>151651.4087627558</v>
      </c>
      <c r="AA23" s="13">
        <f t="shared" si="21"/>
        <v>151348.10594523046</v>
      </c>
      <c r="AB23" s="13">
        <f t="shared" si="21"/>
        <v>151045.40973333921</v>
      </c>
      <c r="AC23" s="13">
        <f t="shared" si="21"/>
        <v>150743.31891387235</v>
      </c>
      <c r="AD23" s="13">
        <f t="shared" si="21"/>
        <v>150441.83227604488</v>
      </c>
      <c r="AE23" s="13">
        <f t="shared" si="21"/>
        <v>150140.94861149276</v>
      </c>
      <c r="AF23" s="13">
        <f t="shared" si="21"/>
        <v>149840.66671426967</v>
      </c>
      <c r="AG23" s="13">
        <f t="shared" si="21"/>
        <v>149540.98538084188</v>
      </c>
      <c r="AH23" s="13">
        <f t="shared" ref="AH23:AL23" si="22">SUM(AH21:AH22)</f>
        <v>149241.90341007989</v>
      </c>
      <c r="AI23" s="13">
        <f t="shared" si="22"/>
        <v>148943.41960325977</v>
      </c>
      <c r="AJ23" s="13">
        <f t="shared" si="22"/>
        <v>148645.53276405297</v>
      </c>
      <c r="AK23" s="13">
        <f t="shared" si="22"/>
        <v>148348.24169852491</v>
      </c>
      <c r="AL23" s="13">
        <f t="shared" si="22"/>
        <v>148051.54521512799</v>
      </c>
    </row>
  </sheetData>
  <sheetProtection algorithmName="SHA-512" hashValue="WNR2pvSDoknFq5HAAdAUUlG4FG06Gca5qt14IX9+PR37uWMYOi6ySDtjSJao9+vFbPL3Pq3d5rbBQU2GoWlYjg==" saltValue="MPNvpUfB2jf5cSNhGON2TQ==" spinCount="100000" sheet="1" objects="1" scenarios="1"/>
  <phoneticPr fontId="3" type="noConversion"/>
  <pageMargins left="0.22604166666666667" right="0.24062500000000001" top="1" bottom="1" header="0.5" footer="0.5"/>
  <pageSetup paperSize="9" scale="75" orientation="landscape" r:id="rId1"/>
  <headerFooter alignWithMargins="0">
    <oddHeader>&amp;LPríloha 7: Štandardné tabuľky - Cesty
&amp;"Arial,Tučné"&amp;12 04 Príjmy</oddHeader>
    <oddFooter>Strana &amp;P z &amp;N</oddFooter>
  </headerFooter>
  <ignoredErrors>
    <ignoredError sqref="D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B2:AQ38"/>
  <sheetViews>
    <sheetView zoomScale="90" zoomScaleNormal="90" workbookViewId="0"/>
  </sheetViews>
  <sheetFormatPr defaultColWidth="9.140625" defaultRowHeight="11.25" x14ac:dyDescent="0.2"/>
  <cols>
    <col min="1" max="1" width="2.5703125" style="2" customWidth="1"/>
    <col min="2" max="2" width="30.7109375" style="2" customWidth="1"/>
    <col min="3" max="4" width="12.7109375" style="2" customWidth="1"/>
    <col min="5" max="5" width="8.7109375" style="2" bestFit="1" customWidth="1"/>
    <col min="6" max="7" width="9.7109375" style="2" bestFit="1" customWidth="1"/>
    <col min="8" max="11" width="7.7109375" style="2" bestFit="1" customWidth="1"/>
    <col min="12" max="13" width="8.28515625" style="2" bestFit="1" customWidth="1"/>
    <col min="14" max="17" width="9.140625" style="2" bestFit="1" customWidth="1"/>
    <col min="18" max="23" width="8.7109375" style="2" bestFit="1" customWidth="1"/>
    <col min="24" max="25" width="9.140625" style="2" bestFit="1" customWidth="1"/>
    <col min="26" max="27" width="8.28515625" style="2" bestFit="1" customWidth="1"/>
    <col min="28" max="28" width="10.5703125" style="2" customWidth="1"/>
    <col min="29" max="29" width="11.28515625" style="2" customWidth="1"/>
    <col min="30" max="30" width="9.85546875" style="2" customWidth="1"/>
    <col min="31" max="31" width="11.42578125" style="2" customWidth="1"/>
    <col min="32" max="35" width="9.140625" style="2" bestFit="1" customWidth="1"/>
    <col min="36" max="38" width="10.140625" style="2" bestFit="1" customWidth="1"/>
    <col min="39" max="39" width="9.7109375" style="2" bestFit="1" customWidth="1"/>
    <col min="40" max="16384" width="9.140625" style="2"/>
  </cols>
  <sheetData>
    <row r="2" spans="2:43" x14ac:dyDescent="0.2">
      <c r="B2" s="6" t="s">
        <v>15</v>
      </c>
      <c r="C2" s="111" t="s">
        <v>28</v>
      </c>
      <c r="D2" s="111" t="s">
        <v>29</v>
      </c>
      <c r="E2" s="790">
        <v>2025</v>
      </c>
      <c r="F2" s="790">
        <v>2026</v>
      </c>
      <c r="G2" s="790">
        <v>2027</v>
      </c>
      <c r="H2" s="790">
        <v>2028</v>
      </c>
      <c r="I2" s="790">
        <v>2029</v>
      </c>
      <c r="J2" s="790">
        <v>2030</v>
      </c>
      <c r="K2" s="790">
        <v>2031</v>
      </c>
      <c r="L2" s="790">
        <v>2032</v>
      </c>
      <c r="M2" s="790">
        <v>2033</v>
      </c>
      <c r="N2" s="790">
        <v>2034</v>
      </c>
      <c r="O2" s="790">
        <v>2035</v>
      </c>
      <c r="P2" s="790">
        <v>2036</v>
      </c>
      <c r="Q2" s="790">
        <v>2037</v>
      </c>
      <c r="R2" s="790">
        <v>2038</v>
      </c>
      <c r="S2" s="790">
        <v>2039</v>
      </c>
      <c r="T2" s="790">
        <v>2040</v>
      </c>
      <c r="U2" s="790">
        <v>2041</v>
      </c>
      <c r="V2" s="790">
        <v>2042</v>
      </c>
      <c r="W2" s="790">
        <v>2043</v>
      </c>
      <c r="X2" s="790">
        <v>2044</v>
      </c>
      <c r="Y2" s="790">
        <v>2045</v>
      </c>
      <c r="Z2" s="790">
        <v>2046</v>
      </c>
      <c r="AA2" s="790">
        <v>2047</v>
      </c>
      <c r="AB2" s="790">
        <v>2048</v>
      </c>
      <c r="AC2" s="790">
        <v>2049</v>
      </c>
      <c r="AD2" s="790">
        <v>2050</v>
      </c>
      <c r="AE2" s="790">
        <v>2051</v>
      </c>
      <c r="AF2" s="790">
        <v>2052</v>
      </c>
      <c r="AG2" s="790">
        <v>2053</v>
      </c>
      <c r="AH2" s="790">
        <v>2054</v>
      </c>
      <c r="AI2" s="790">
        <v>2055</v>
      </c>
      <c r="AJ2" s="790">
        <v>2056</v>
      </c>
      <c r="AK2" s="790">
        <v>2057</v>
      </c>
      <c r="AL2" s="790">
        <v>2058</v>
      </c>
      <c r="AM2" s="790">
        <v>2059</v>
      </c>
    </row>
    <row r="3" spans="2:43" x14ac:dyDescent="0.2">
      <c r="B3" s="3" t="s">
        <v>213</v>
      </c>
      <c r="C3" s="114">
        <f>'01 Investičné výdavky'!C12</f>
        <v>102000000</v>
      </c>
      <c r="D3" s="156">
        <f>'06 Finančná analýza'!C5</f>
        <v>95059171.597633138</v>
      </c>
      <c r="E3" s="14">
        <f>'01 Investičné výdavky'!D5</f>
        <v>0</v>
      </c>
      <c r="F3" s="14">
        <f>'01 Investičné výdavky'!E5</f>
        <v>20400000</v>
      </c>
      <c r="G3" s="14">
        <f>'01 Investičné výdavky'!F5</f>
        <v>81600000</v>
      </c>
      <c r="H3" s="14">
        <f>'01 Investičné výdavky'!G5</f>
        <v>0</v>
      </c>
      <c r="I3" s="14">
        <f>'01 Investičné výdavky'!H5</f>
        <v>0</v>
      </c>
      <c r="J3" s="14">
        <f>'01 Investičné výdavky'!I5</f>
        <v>0</v>
      </c>
      <c r="K3" s="14">
        <f>'01 Investičné výdavky'!J5</f>
        <v>0</v>
      </c>
      <c r="L3" s="14">
        <f>'01 Investičné výdavky'!K5</f>
        <v>0</v>
      </c>
      <c r="M3" s="14">
        <f>'01 Investičné výdavky'!L5</f>
        <v>0</v>
      </c>
      <c r="N3" s="14">
        <f>'01 Investičné výdavky'!M5</f>
        <v>0</v>
      </c>
      <c r="O3" s="14">
        <f>'01 Investičné výdavky'!N5</f>
        <v>0</v>
      </c>
      <c r="P3" s="14">
        <f>'01 Investičné výdavky'!O5</f>
        <v>0</v>
      </c>
      <c r="Q3" s="14">
        <f>'01 Investičné výdavky'!P5</f>
        <v>0</v>
      </c>
      <c r="R3" s="14">
        <f>'01 Investičné výdavky'!Q5</f>
        <v>0</v>
      </c>
      <c r="S3" s="14">
        <f>'01 Investičné výdavky'!R5</f>
        <v>0</v>
      </c>
      <c r="T3" s="14">
        <f>'01 Investičné výdavky'!S5</f>
        <v>0</v>
      </c>
      <c r="U3" s="14">
        <f>'01 Investičné výdavky'!T5</f>
        <v>0</v>
      </c>
      <c r="V3" s="14">
        <f>'01 Investičné výdavky'!U5</f>
        <v>0</v>
      </c>
      <c r="W3" s="14">
        <f>'01 Investičné výdavky'!V5</f>
        <v>0</v>
      </c>
      <c r="X3" s="14">
        <f>'01 Investičné výdavky'!W5</f>
        <v>0</v>
      </c>
      <c r="Y3" s="14">
        <f>'01 Investičné výdavky'!X5</f>
        <v>0</v>
      </c>
      <c r="Z3" s="14">
        <f>'01 Investičné výdavky'!Y5</f>
        <v>0</v>
      </c>
      <c r="AA3" s="14">
        <f>'01 Investičné výdavky'!Z5</f>
        <v>0</v>
      </c>
      <c r="AB3" s="14">
        <f>'01 Investičné výdavky'!AA5</f>
        <v>0</v>
      </c>
      <c r="AC3" s="14">
        <f>'01 Investičné výdavky'!AB5</f>
        <v>0</v>
      </c>
      <c r="AD3" s="14">
        <f>'01 Investičné výdavky'!AC5</f>
        <v>0</v>
      </c>
      <c r="AE3" s="14">
        <f>'01 Investičné výdavky'!AD5</f>
        <v>0</v>
      </c>
      <c r="AF3" s="14">
        <f>'01 Investičné výdavky'!AE5</f>
        <v>0</v>
      </c>
      <c r="AG3" s="14">
        <f>'01 Investičné výdavky'!AF5</f>
        <v>0</v>
      </c>
      <c r="AH3" s="14">
        <f>'01 Investičné výdavky'!AG5</f>
        <v>0</v>
      </c>
      <c r="AI3" s="14">
        <f>'01 Investičné výdavky'!AH5</f>
        <v>0</v>
      </c>
      <c r="AJ3" s="14">
        <f>'01 Investičné výdavky'!AI5</f>
        <v>0</v>
      </c>
      <c r="AK3" s="14">
        <f>'01 Investičné výdavky'!AJ5</f>
        <v>0</v>
      </c>
      <c r="AL3" s="14">
        <f>'01 Investičné výdavky'!AK5</f>
        <v>0</v>
      </c>
      <c r="AM3" s="14">
        <f>'01 Investičné výdavky'!AL5</f>
        <v>0</v>
      </c>
    </row>
    <row r="4" spans="2:43" x14ac:dyDescent="0.2">
      <c r="B4" s="3" t="s">
        <v>16</v>
      </c>
      <c r="C4" s="114">
        <f>'06 Finančná analýza'!AL8</f>
        <v>72080000</v>
      </c>
      <c r="D4" s="156">
        <f>'06 Finančná analýza'!C8</f>
        <v>18996834.61522403</v>
      </c>
      <c r="E4" s="2">
        <f>'06 Finančná analýza'!D8</f>
        <v>0</v>
      </c>
      <c r="F4" s="2">
        <f>'06 Finančná analýza'!E8</f>
        <v>0</v>
      </c>
      <c r="G4" s="2">
        <f>'06 Finančná analýza'!F8</f>
        <v>0</v>
      </c>
      <c r="H4" s="2">
        <f>'06 Finančná analýza'!G8</f>
        <v>0</v>
      </c>
      <c r="I4" s="2">
        <f>'06 Finančná analýza'!H8</f>
        <v>0</v>
      </c>
      <c r="J4" s="2">
        <f>'06 Finančná analýza'!I8</f>
        <v>0</v>
      </c>
      <c r="K4" s="2">
        <f>'06 Finančná analýza'!J8</f>
        <v>0</v>
      </c>
      <c r="L4" s="2">
        <f>'06 Finančná analýza'!K8</f>
        <v>0</v>
      </c>
      <c r="M4" s="2">
        <f>'06 Finančná analýza'!L8</f>
        <v>0</v>
      </c>
      <c r="N4" s="2">
        <f>'06 Finančná analýza'!M8</f>
        <v>0</v>
      </c>
      <c r="O4" s="2">
        <f>'06 Finančná analýza'!N8</f>
        <v>0</v>
      </c>
      <c r="P4" s="2">
        <f>'06 Finančná analýza'!O8</f>
        <v>0</v>
      </c>
      <c r="Q4" s="2">
        <f>'06 Finančná analýza'!P8</f>
        <v>0</v>
      </c>
      <c r="R4" s="2">
        <f>'06 Finančná analýza'!Q8</f>
        <v>0</v>
      </c>
      <c r="S4" s="2">
        <f>'06 Finančná analýza'!R8</f>
        <v>0</v>
      </c>
      <c r="T4" s="2">
        <f>'06 Finančná analýza'!S8</f>
        <v>0</v>
      </c>
      <c r="U4" s="2">
        <f>'06 Finančná analýza'!T8</f>
        <v>0</v>
      </c>
      <c r="V4" s="2">
        <f>'06 Finančná analýza'!U8</f>
        <v>0</v>
      </c>
      <c r="W4" s="2">
        <f>'06 Finančná analýza'!V8</f>
        <v>0</v>
      </c>
      <c r="X4" s="2">
        <f>'06 Finančná analýza'!W8</f>
        <v>0</v>
      </c>
      <c r="Y4" s="2">
        <f>'06 Finančná analýza'!X8</f>
        <v>0</v>
      </c>
      <c r="Z4" s="2">
        <f>'06 Finančná analýza'!Y8</f>
        <v>0</v>
      </c>
      <c r="AA4" s="2">
        <f>'06 Finančná analýza'!Z8</f>
        <v>0</v>
      </c>
      <c r="AB4" s="2">
        <f>'06 Finančná analýza'!AA8</f>
        <v>0</v>
      </c>
      <c r="AC4" s="2">
        <f>'06 Finančná analýza'!AB8</f>
        <v>0</v>
      </c>
      <c r="AD4" s="2">
        <f>'06 Finančná analýza'!AC8</f>
        <v>0</v>
      </c>
      <c r="AE4" s="2">
        <f>'06 Finančná analýza'!AD8</f>
        <v>0</v>
      </c>
      <c r="AF4" s="2">
        <f>'06 Finančná analýza'!AE8</f>
        <v>0</v>
      </c>
      <c r="AG4" s="2">
        <f>'06 Finančná analýza'!AF8</f>
        <v>0</v>
      </c>
      <c r="AH4" s="2">
        <f>'06 Finančná analýza'!AG8</f>
        <v>0</v>
      </c>
      <c r="AI4" s="2">
        <f>'06 Finančná analýza'!AH8</f>
        <v>0</v>
      </c>
      <c r="AJ4" s="2">
        <f>'06 Finančná analýza'!AI8</f>
        <v>0</v>
      </c>
      <c r="AK4" s="2">
        <f>'06 Finančná analýza'!AJ8</f>
        <v>0</v>
      </c>
      <c r="AL4" s="2">
        <f>'06 Finančná analýza'!AK8</f>
        <v>0</v>
      </c>
      <c r="AM4" s="2">
        <f>'06 Finančná analýza'!AL8</f>
        <v>72080000</v>
      </c>
    </row>
    <row r="5" spans="2:43" x14ac:dyDescent="0.2">
      <c r="B5" s="3" t="s">
        <v>170</v>
      </c>
      <c r="C5" s="114">
        <f>'04 Prevádzkové príjmy'!C23</f>
        <v>4863586.2604092592</v>
      </c>
      <c r="D5" s="156">
        <f>'06 Finančná analýza'!C7</f>
        <v>2521824.924641998</v>
      </c>
      <c r="E5" s="14">
        <f>'04 Prevádzkové príjmy'!D23</f>
        <v>0</v>
      </c>
      <c r="F5" s="14">
        <f>'04 Prevádzkové príjmy'!E23</f>
        <v>0</v>
      </c>
      <c r="G5" s="14">
        <f>'04 Prevádzkové príjmy'!F23</f>
        <v>0</v>
      </c>
      <c r="H5" s="14">
        <f>'04 Prevádzkové príjmy'!G23</f>
        <v>153791.61586476211</v>
      </c>
      <c r="I5" s="14">
        <f>'04 Prevádzkové príjmy'!H23</f>
        <v>153791.61586476211</v>
      </c>
      <c r="J5" s="14">
        <f>'04 Prevádzkové príjmy'!I23</f>
        <v>153791.61586476211</v>
      </c>
      <c r="K5" s="14">
        <f>'04 Prevádzkové príjmy'!J23</f>
        <v>153791.61586476211</v>
      </c>
      <c r="L5" s="14">
        <f>'04 Prevádzkové príjmy'!K23</f>
        <v>153791.61586476211</v>
      </c>
      <c r="M5" s="14">
        <f>'04 Prevádzkové príjmy'!L23</f>
        <v>153791.61586476211</v>
      </c>
      <c r="N5" s="14">
        <f>'04 Prevádzkové príjmy'!M23</f>
        <v>153791.61586476211</v>
      </c>
      <c r="O5" s="14">
        <f>'04 Prevádzkové príjmy'!N23</f>
        <v>153791.61586476211</v>
      </c>
      <c r="P5" s="14">
        <f>'04 Prevádzkové príjmy'!O23</f>
        <v>153791.61586476211</v>
      </c>
      <c r="Q5" s="14">
        <f>'04 Prevádzkové príjmy'!P23</f>
        <v>153791.61586476211</v>
      </c>
      <c r="R5" s="14">
        <f>'04 Prevádzkové príjmy'!Q23</f>
        <v>153791.61586476211</v>
      </c>
      <c r="S5" s="14">
        <f>'04 Prevádzkové príjmy'!R23</f>
        <v>153791.61586476211</v>
      </c>
      <c r="T5" s="14">
        <f>'04 Prevádzkové príjmy'!S23</f>
        <v>153791.61586476211</v>
      </c>
      <c r="U5" s="14">
        <f>'04 Prevádzkové príjmy'!T23</f>
        <v>153484.03263303265</v>
      </c>
      <c r="V5" s="14">
        <f>'04 Prevádzkové príjmy'!U23</f>
        <v>153177.06456776615</v>
      </c>
      <c r="W5" s="14">
        <f>'04 Prevádzkové príjmy'!V23</f>
        <v>152870.71043863054</v>
      </c>
      <c r="X5" s="14">
        <f>'04 Prevádzkové príjmy'!W23</f>
        <v>152564.96901775338</v>
      </c>
      <c r="Y5" s="14">
        <f>'04 Prevádzkové príjmy'!X23</f>
        <v>152259.83907971764</v>
      </c>
      <c r="Z5" s="14">
        <f>'04 Prevádzkové príjmy'!Y23</f>
        <v>151955.31940155802</v>
      </c>
      <c r="AA5" s="14">
        <f>'04 Prevádzkové príjmy'!Z23</f>
        <v>151651.4087627558</v>
      </c>
      <c r="AB5" s="14">
        <f>'04 Prevádzkové príjmy'!AA23</f>
        <v>151348.10594523046</v>
      </c>
      <c r="AC5" s="14">
        <f>'04 Prevádzkové príjmy'!AB23</f>
        <v>151045.40973333921</v>
      </c>
      <c r="AD5" s="14">
        <f>'04 Prevádzkové príjmy'!AC23</f>
        <v>150743.31891387235</v>
      </c>
      <c r="AE5" s="14">
        <f>'04 Prevádzkové príjmy'!AD23</f>
        <v>150441.83227604488</v>
      </c>
      <c r="AF5" s="14">
        <f>'04 Prevádzkové príjmy'!AE23</f>
        <v>150140.94861149276</v>
      </c>
      <c r="AG5" s="14">
        <f>'04 Prevádzkové príjmy'!AF23</f>
        <v>149840.66671426967</v>
      </c>
      <c r="AH5" s="14">
        <f>'04 Prevádzkové príjmy'!AG23</f>
        <v>149540.98538084188</v>
      </c>
      <c r="AI5" s="14">
        <f>'04 Prevádzkové príjmy'!AH23</f>
        <v>149241.90341007989</v>
      </c>
      <c r="AJ5" s="14">
        <f>'04 Prevádzkové príjmy'!AI23</f>
        <v>148943.41960325977</v>
      </c>
      <c r="AK5" s="14">
        <f>'04 Prevádzkové príjmy'!AJ23</f>
        <v>148645.53276405297</v>
      </c>
      <c r="AL5" s="14">
        <f>'04 Prevádzkové príjmy'!AK23</f>
        <v>148348.24169852491</v>
      </c>
      <c r="AM5" s="14">
        <f>'04 Prevádzkové príjmy'!AL23</f>
        <v>148051.54521512799</v>
      </c>
      <c r="AN5" s="14"/>
      <c r="AO5" s="14"/>
      <c r="AP5" s="14"/>
      <c r="AQ5" s="14"/>
    </row>
    <row r="6" spans="2:43" x14ac:dyDescent="0.2">
      <c r="B6" s="3" t="s">
        <v>57</v>
      </c>
      <c r="C6" s="114">
        <f>'03 Prevádzkové výdavky'!C32</f>
        <v>70988846.415649876</v>
      </c>
      <c r="D6" s="156">
        <f>'06 Finančná analýza'!C6</f>
        <v>22196278.701804329</v>
      </c>
      <c r="E6" s="14">
        <f>'03 Prevádzkové výdavky'!D32</f>
        <v>0</v>
      </c>
      <c r="F6" s="14">
        <f>'03 Prevádzkové výdavky'!E32</f>
        <v>0</v>
      </c>
      <c r="G6" s="14">
        <f>'03 Prevádzkové výdavky'!F32</f>
        <v>0</v>
      </c>
      <c r="H6" s="14">
        <f>'03 Prevádzkové výdavky'!G32</f>
        <v>948862.48957161047</v>
      </c>
      <c r="I6" s="14">
        <f>'03 Prevádzkové výdavky'!H32</f>
        <v>959194.1433417201</v>
      </c>
      <c r="J6" s="14">
        <f>'03 Prevádzkové výdavky'!I32</f>
        <v>969433.65366392955</v>
      </c>
      <c r="K6" s="14">
        <f>'03 Prevádzkové výdavky'!J32</f>
        <v>979569.34443935007</v>
      </c>
      <c r="L6" s="14">
        <f>'03 Prevádzkové výdavky'!K32</f>
        <v>989589.01253019273</v>
      </c>
      <c r="M6" s="14">
        <f>'03 Prevádzkové výdavky'!L32</f>
        <v>997708.32109582797</v>
      </c>
      <c r="N6" s="14">
        <f>'03 Prevádzkové výdavky'!M32</f>
        <v>-1538861.4957769066</v>
      </c>
      <c r="O6" s="14">
        <f>'03 Prevádzkové výdavky'!N32</f>
        <v>-1525448.003205331</v>
      </c>
      <c r="P6" s="14">
        <f>'03 Prevádzkové výdavky'!O32</f>
        <v>-1512063.8089306932</v>
      </c>
      <c r="Q6" s="14">
        <f>'03 Prevádzkové výdavky'!P32</f>
        <v>-1498722.2485481743</v>
      </c>
      <c r="R6" s="14">
        <f>'03 Prevádzkové výdavky'!Q32</f>
        <v>1064562.5819242951</v>
      </c>
      <c r="S6" s="14">
        <f>'03 Prevádzkové výdavky'!R32</f>
        <v>1077775.7921526525</v>
      </c>
      <c r="T6" s="14">
        <f>'03 Prevádzkové výdavky'!S32</f>
        <v>1090901.662217306</v>
      </c>
      <c r="U6" s="14">
        <f>'03 Prevádzkové výdavky'!T32</f>
        <v>1103923.6059144009</v>
      </c>
      <c r="V6" s="14">
        <f>'03 Prevádzkové výdavky'!U32</f>
        <v>1114798.5172334127</v>
      </c>
      <c r="W6" s="14">
        <f>'03 Prevádzkové výdavky'!V32</f>
        <v>1124765.4705314394</v>
      </c>
      <c r="X6" s="14">
        <f>'03 Prevádzkové výdavky'!W32</f>
        <v>-5240627.1039689332</v>
      </c>
      <c r="Y6" s="14">
        <f>'03 Prevádzkové výdavky'!X32</f>
        <v>-5231412.4143074024</v>
      </c>
      <c r="Z6" s="14">
        <f>'03 Prevádzkové výdavky'!Y32</f>
        <v>132374.51066674106</v>
      </c>
      <c r="AA6" s="14">
        <f>'03 Prevádzkové výdavky'!Z32</f>
        <v>140696.73424813896</v>
      </c>
      <c r="AB6" s="14">
        <f>'03 Prevádzkové výdavky'!AA32</f>
        <v>6523515.3209017944</v>
      </c>
      <c r="AC6" s="14">
        <f>'03 Prevádzkové výdavky'!AB32</f>
        <v>6530789.2411906403</v>
      </c>
      <c r="AD6" s="14">
        <f>'03 Prevádzkové výdavky'!AC32</f>
        <v>1182475.2724250555</v>
      </c>
      <c r="AE6" s="14">
        <f>'03 Prevádzkové výdavky'!AD32</f>
        <v>1186107.0970089156</v>
      </c>
      <c r="AF6" s="14">
        <f>'03 Prevádzkové výdavky'!AE32</f>
        <v>1187502.0210766587</v>
      </c>
      <c r="AG6" s="14">
        <f>'03 Prevádzkové výdavky'!AF32</f>
        <v>1187827.0931713451</v>
      </c>
      <c r="AH6" s="14">
        <f>'03 Prevádzkové výdavky'!AG32</f>
        <v>-1362994.7174245045</v>
      </c>
      <c r="AI6" s="14">
        <f>'03 Prevádzkové výdavky'!AH32</f>
        <v>-1365044.749405276</v>
      </c>
      <c r="AJ6" s="14">
        <f>'03 Prevádzkové výdavky'!AI32</f>
        <v>13676591.128194187</v>
      </c>
      <c r="AK6" s="14">
        <f>'03 Prevádzkové výdavky'!AJ32</f>
        <v>13671822.282564774</v>
      </c>
      <c r="AL6" s="14">
        <f>'03 Prevádzkové výdavky'!AK32</f>
        <v>16215553.072079364</v>
      </c>
      <c r="AM6" s="14">
        <f>'03 Prevádzkové výdavky'!AL32</f>
        <v>16207682.589073341</v>
      </c>
      <c r="AN6" s="14"/>
      <c r="AO6" s="14"/>
      <c r="AP6" s="14"/>
      <c r="AQ6" s="14"/>
    </row>
    <row r="7" spans="2:43" x14ac:dyDescent="0.2">
      <c r="B7" s="3" t="s">
        <v>212</v>
      </c>
      <c r="C7" s="789">
        <f>SUM(E7:AM7)</f>
        <v>5954739.8447593898</v>
      </c>
      <c r="D7" s="156">
        <f>IF(D5&gt;D6,D4+D5-D6,0)</f>
        <v>0</v>
      </c>
      <c r="E7" s="14">
        <f>E5-E6+E4</f>
        <v>0</v>
      </c>
      <c r="F7" s="14">
        <f t="shared" ref="F7:AM7" si="0">F5-F6+F4</f>
        <v>0</v>
      </c>
      <c r="G7" s="14">
        <f t="shared" si="0"/>
        <v>0</v>
      </c>
      <c r="H7" s="14">
        <f t="shared" si="0"/>
        <v>-795070.87370684836</v>
      </c>
      <c r="I7" s="14">
        <f t="shared" si="0"/>
        <v>-805402.527476958</v>
      </c>
      <c r="J7" s="14">
        <f t="shared" si="0"/>
        <v>-815642.03779916745</v>
      </c>
      <c r="K7" s="14">
        <f t="shared" si="0"/>
        <v>-825777.72857458796</v>
      </c>
      <c r="L7" s="14">
        <f t="shared" si="0"/>
        <v>-835797.39666543063</v>
      </c>
      <c r="M7" s="14">
        <f t="shared" si="0"/>
        <v>-843916.70523106586</v>
      </c>
      <c r="N7" s="14">
        <f t="shared" si="0"/>
        <v>1692653.1116416687</v>
      </c>
      <c r="O7" s="14">
        <f t="shared" si="0"/>
        <v>1679239.6190700931</v>
      </c>
      <c r="P7" s="14">
        <f t="shared" si="0"/>
        <v>1665855.4247954553</v>
      </c>
      <c r="Q7" s="14">
        <f t="shared" si="0"/>
        <v>1652513.8644129364</v>
      </c>
      <c r="R7" s="14">
        <f t="shared" si="0"/>
        <v>-910770.96605953295</v>
      </c>
      <c r="S7" s="14">
        <f t="shared" si="0"/>
        <v>-923984.17628789041</v>
      </c>
      <c r="T7" s="14">
        <f t="shared" si="0"/>
        <v>-937110.04635254387</v>
      </c>
      <c r="U7" s="14">
        <f t="shared" si="0"/>
        <v>-950439.57328136824</v>
      </c>
      <c r="V7" s="14">
        <f t="shared" si="0"/>
        <v>-961621.45266564656</v>
      </c>
      <c r="W7" s="14">
        <f t="shared" si="0"/>
        <v>-971894.76009280887</v>
      </c>
      <c r="X7" s="14">
        <f t="shared" si="0"/>
        <v>5393192.0729866866</v>
      </c>
      <c r="Y7" s="14">
        <f t="shared" si="0"/>
        <v>5383672.2533871196</v>
      </c>
      <c r="Z7" s="14">
        <f t="shared" si="0"/>
        <v>19580.808734816965</v>
      </c>
      <c r="AA7" s="14">
        <f t="shared" si="0"/>
        <v>10954.67451461684</v>
      </c>
      <c r="AB7" s="14">
        <f t="shared" si="0"/>
        <v>-6372167.2149565639</v>
      </c>
      <c r="AC7" s="14">
        <f t="shared" si="0"/>
        <v>-6379743.831457301</v>
      </c>
      <c r="AD7" s="14">
        <f t="shared" si="0"/>
        <v>-1031731.9535111832</v>
      </c>
      <c r="AE7" s="14">
        <f t="shared" si="0"/>
        <v>-1035665.2647328707</v>
      </c>
      <c r="AF7" s="14">
        <f t="shared" si="0"/>
        <v>-1037361.072465166</v>
      </c>
      <c r="AG7" s="14">
        <f t="shared" si="0"/>
        <v>-1037986.4264570754</v>
      </c>
      <c r="AH7" s="14">
        <f t="shared" si="0"/>
        <v>1512535.7028053463</v>
      </c>
      <c r="AI7" s="14">
        <f t="shared" si="0"/>
        <v>1514286.6528153559</v>
      </c>
      <c r="AJ7" s="14">
        <f t="shared" si="0"/>
        <v>-13527647.708590927</v>
      </c>
      <c r="AK7" s="14">
        <f t="shared" si="0"/>
        <v>-13523176.749800721</v>
      </c>
      <c r="AL7" s="14">
        <f t="shared" si="0"/>
        <v>-16067204.830380838</v>
      </c>
      <c r="AM7" s="14">
        <f t="shared" si="0"/>
        <v>56020368.956141785</v>
      </c>
    </row>
    <row r="8" spans="2:43" x14ac:dyDescent="0.2">
      <c r="B8" s="3" t="s">
        <v>214</v>
      </c>
      <c r="C8" s="128"/>
      <c r="D8" s="156">
        <f>D3-D7</f>
        <v>95059171.597633138</v>
      </c>
      <c r="E8" s="14"/>
    </row>
    <row r="9" spans="2:43" x14ac:dyDescent="0.2">
      <c r="B9" s="3" t="s">
        <v>215</v>
      </c>
      <c r="C9" s="129"/>
      <c r="D9" s="157">
        <f>IFERROR(D8/D3,0)</f>
        <v>1</v>
      </c>
    </row>
    <row r="11" spans="2:43" x14ac:dyDescent="0.2">
      <c r="H11" s="14"/>
    </row>
    <row r="12" spans="2:43" x14ac:dyDescent="0.2">
      <c r="B12" s="6" t="s">
        <v>18</v>
      </c>
      <c r="C12" s="19"/>
      <c r="D12" s="2" t="s">
        <v>217</v>
      </c>
      <c r="G12" s="99"/>
      <c r="H12" s="99"/>
    </row>
    <row r="13" spans="2:43" x14ac:dyDescent="0.2">
      <c r="B13" s="3" t="s">
        <v>292</v>
      </c>
      <c r="C13" s="8">
        <f>'01 Investičné výdavky'!C19</f>
        <v>102000000</v>
      </c>
      <c r="G13" s="572"/>
      <c r="I13" s="14"/>
    </row>
    <row r="14" spans="2:43" x14ac:dyDescent="0.2">
      <c r="B14" s="3" t="s">
        <v>293</v>
      </c>
      <c r="C14" s="9"/>
      <c r="D14" s="2" t="s">
        <v>295</v>
      </c>
      <c r="I14" s="14"/>
    </row>
    <row r="15" spans="2:43" x14ac:dyDescent="0.2">
      <c r="B15" s="3" t="s">
        <v>294</v>
      </c>
      <c r="C15" s="8">
        <f>C13+C14</f>
        <v>102000000</v>
      </c>
    </row>
    <row r="16" spans="2:43" x14ac:dyDescent="0.2">
      <c r="B16" s="3" t="s">
        <v>171</v>
      </c>
      <c r="C16" s="8">
        <f>C15*D9</f>
        <v>102000000</v>
      </c>
    </row>
    <row r="17" spans="2:33" x14ac:dyDescent="0.2">
      <c r="B17" s="3" t="s">
        <v>17</v>
      </c>
      <c r="C17" s="24">
        <v>1</v>
      </c>
    </row>
    <row r="18" spans="2:33" x14ac:dyDescent="0.2">
      <c r="B18" s="3" t="s">
        <v>19</v>
      </c>
      <c r="C18" s="8">
        <f>C16*C17</f>
        <v>102000000</v>
      </c>
    </row>
    <row r="19" spans="2:33" x14ac:dyDescent="0.2">
      <c r="B19" s="3" t="s">
        <v>483</v>
      </c>
      <c r="C19" s="788">
        <f>IFERROR(C18/C13,0)</f>
        <v>1</v>
      </c>
    </row>
    <row r="20" spans="2:33" x14ac:dyDescent="0.2">
      <c r="B20" s="15"/>
    </row>
    <row r="21" spans="2:33" x14ac:dyDescent="0.2">
      <c r="B21" s="15"/>
    </row>
    <row r="22" spans="2:33" x14ac:dyDescent="0.2">
      <c r="B22" s="3"/>
      <c r="C22" s="3"/>
      <c r="D22" s="3" t="s">
        <v>10</v>
      </c>
      <c r="E22" s="3"/>
      <c r="F22" s="3"/>
      <c r="G22" s="3"/>
      <c r="H22" s="3"/>
      <c r="I22" s="3"/>
    </row>
    <row r="23" spans="2:33" x14ac:dyDescent="0.2">
      <c r="B23" s="4"/>
      <c r="C23" s="4"/>
      <c r="D23" s="5">
        <v>1</v>
      </c>
      <c r="E23" s="5">
        <v>2</v>
      </c>
      <c r="F23" s="5">
        <v>3</v>
      </c>
      <c r="G23" s="5">
        <v>4</v>
      </c>
      <c r="H23" s="5">
        <v>5</v>
      </c>
      <c r="I23" s="5">
        <v>6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2:33" x14ac:dyDescent="0.2">
      <c r="B24" s="6" t="s">
        <v>484</v>
      </c>
      <c r="C24" s="111" t="s">
        <v>9</v>
      </c>
      <c r="D24" s="7">
        <f>Parametre!C13</f>
        <v>2025</v>
      </c>
      <c r="E24" s="7">
        <f>$D$24+D23</f>
        <v>2026</v>
      </c>
      <c r="F24" s="7">
        <f>$D$24+E23</f>
        <v>2027</v>
      </c>
      <c r="G24" s="7">
        <f>$D$24+F23</f>
        <v>2028</v>
      </c>
      <c r="H24" s="7">
        <f t="shared" ref="H24:I24" si="1">$D$24+G23</f>
        <v>2029</v>
      </c>
      <c r="I24" s="7">
        <f t="shared" si="1"/>
        <v>2030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2:33" x14ac:dyDescent="0.2">
      <c r="B25" s="3" t="s">
        <v>58</v>
      </c>
      <c r="C25" s="8">
        <f>SUM(D25:AG25)</f>
        <v>122400000</v>
      </c>
      <c r="D25" s="8">
        <f>'01 Investičné výdavky'!D17</f>
        <v>0</v>
      </c>
      <c r="E25" s="8">
        <f>'01 Investičné výdavky'!E17</f>
        <v>24480000</v>
      </c>
      <c r="F25" s="8">
        <f>'01 Investičné výdavky'!F17</f>
        <v>97920000</v>
      </c>
      <c r="G25" s="8">
        <f>'01 Investičné výdavky'!G17</f>
        <v>0</v>
      </c>
      <c r="H25" s="8">
        <f>'01 Investičné výdavky'!H17</f>
        <v>0</v>
      </c>
      <c r="I25" s="8">
        <f>'01 Investičné výdavky'!I17</f>
        <v>0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spans="2:33" x14ac:dyDescent="0.2">
      <c r="B26" s="3" t="s">
        <v>374</v>
      </c>
      <c r="C26" s="8">
        <f>SUM(D26:AG26)</f>
        <v>0</v>
      </c>
      <c r="D26" s="9"/>
      <c r="E26" s="9"/>
      <c r="F26" s="9"/>
      <c r="G26" s="9"/>
      <c r="H26" s="9"/>
      <c r="I26" s="9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 spans="2:33" x14ac:dyDescent="0.2">
      <c r="B27" s="3" t="s">
        <v>183</v>
      </c>
      <c r="C27" s="8">
        <f t="shared" ref="C27:C28" si="2">SUM(D27:AG27)</f>
        <v>102000000</v>
      </c>
      <c r="D27" s="8">
        <f>$D$9*$C$17*'01 Investičné výdavky'!D19</f>
        <v>0</v>
      </c>
      <c r="E27" s="8">
        <f>$D$9*$C$17*'01 Investičné výdavky'!E19</f>
        <v>20400000</v>
      </c>
      <c r="F27" s="8">
        <f>$D$9*$C$17*'01 Investičné výdavky'!F19</f>
        <v>81600000</v>
      </c>
      <c r="G27" s="8">
        <f>$D$9*$C$17*'01 Investičné výdavky'!G19</f>
        <v>0</v>
      </c>
      <c r="H27" s="8">
        <f>$D$9*$C$17*'01 Investičné výdavky'!H19</f>
        <v>0</v>
      </c>
      <c r="I27" s="8">
        <f>$D$9*$C$17*'01 Investičné výdavky'!I19</f>
        <v>0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2:33" x14ac:dyDescent="0.2">
      <c r="B28" s="3" t="s">
        <v>184</v>
      </c>
      <c r="C28" s="8">
        <f t="shared" si="2"/>
        <v>20400000</v>
      </c>
      <c r="D28" s="8">
        <f>D25-D27</f>
        <v>0</v>
      </c>
      <c r="E28" s="8">
        <f t="shared" ref="E28:H28" si="3">E25-E27</f>
        <v>4080000</v>
      </c>
      <c r="F28" s="8">
        <f t="shared" si="3"/>
        <v>16320000</v>
      </c>
      <c r="G28" s="8">
        <f t="shared" si="3"/>
        <v>0</v>
      </c>
      <c r="H28" s="8">
        <f t="shared" si="3"/>
        <v>0</v>
      </c>
      <c r="I28" s="8">
        <f t="shared" ref="I28" si="4">I25-I27</f>
        <v>0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</row>
    <row r="29" spans="2:33" x14ac:dyDescent="0.2">
      <c r="B29" s="1" t="s">
        <v>485</v>
      </c>
    </row>
    <row r="34" spans="2:2" x14ac:dyDescent="0.2">
      <c r="B34" s="2" t="s">
        <v>185</v>
      </c>
    </row>
    <row r="37" spans="2:2" x14ac:dyDescent="0.2">
      <c r="B37" s="770" t="s">
        <v>720</v>
      </c>
    </row>
    <row r="38" spans="2:2" x14ac:dyDescent="0.2">
      <c r="B38" s="770" t="s">
        <v>721</v>
      </c>
    </row>
  </sheetData>
  <sheetProtection algorithmName="SHA-512" hashValue="OesvEQd4/VgUuHUQGUF8STRpGjFnRGdn8Dq80ci1O+y/Zyza+8U3/pAMb96PEEZrM/ArZkUfnrSY5PnuSi6r9A==" saltValue="B+N22e/kDc72B8NVbF4IpA==" spinCount="100000" sheet="1" objects="1" scenarios="1"/>
  <phoneticPr fontId="3" type="noConversion"/>
  <pageMargins left="0.1953125" right="0.34375" top="1" bottom="1" header="0.5" footer="0.5"/>
  <pageSetup scale="75" orientation="landscape" r:id="rId1"/>
  <headerFooter alignWithMargins="0"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22</vt:i4>
      </vt:variant>
      <vt:variant>
        <vt:lpstr>Pomenované rozsahy</vt:lpstr>
      </vt:variant>
      <vt:variant>
        <vt:i4>4</vt:i4>
      </vt:variant>
    </vt:vector>
  </HeadingPairs>
  <TitlesOfParts>
    <vt:vector size="26" baseType="lpstr">
      <vt:lpstr>Parametre</vt:lpstr>
      <vt:lpstr>Vstupy</vt:lpstr>
      <vt:lpstr>01 Investičné výdavky</vt:lpstr>
      <vt:lpstr>02 Zostatková hodnota</vt:lpstr>
      <vt:lpstr>03 A_Prevádzkové výdavky</vt:lpstr>
      <vt:lpstr>03 B_Výdavky na obnovu</vt:lpstr>
      <vt:lpstr>03 Prevádzkové výdavky</vt:lpstr>
      <vt:lpstr>04 Prevádzkové príjmy</vt:lpstr>
      <vt:lpstr>05 Financovanie</vt:lpstr>
      <vt:lpstr>06 Finančná analýza</vt:lpstr>
      <vt:lpstr>07 Čas cestujúcich</vt:lpstr>
      <vt:lpstr>08 Spotreba PHM_E (cesty)</vt:lpstr>
      <vt:lpstr>09 Ostatné náklady (cesty)</vt:lpstr>
      <vt:lpstr>10 Bezpečnosť (cesty)</vt:lpstr>
      <vt:lpstr>10_A Bezpečnosť (cesty)</vt:lpstr>
      <vt:lpstr>11a Znečisťujúce látky (voz.)</vt:lpstr>
      <vt:lpstr>11b Znečisťujúce látky (cesty)</vt:lpstr>
      <vt:lpstr>12a Skleníkové plyny (voz.)</vt:lpstr>
      <vt:lpstr>12b Skleníkové plyny (cesty)</vt:lpstr>
      <vt:lpstr>13a Hluk (voz.)</vt:lpstr>
      <vt:lpstr>13b Hluk (cesty)</vt:lpstr>
      <vt:lpstr>14 Ekonomická analýza</vt:lpstr>
      <vt:lpstr>'03 A_Prevádzkové výdavky'!Názvy_tlače</vt:lpstr>
      <vt:lpstr>'03 B_Výdavky na obnovu'!Názvy_tlače</vt:lpstr>
      <vt:lpstr>Vstupy!Názvy_tlače</vt:lpstr>
      <vt:lpstr>'03 A_Prevádzkové výdavky'!Oblasť_tlače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Bajs Rastislav</cp:lastModifiedBy>
  <cp:lastPrinted>2011-06-09T11:45:53Z</cp:lastPrinted>
  <dcterms:created xsi:type="dcterms:W3CDTF">2011-05-19T08:19:19Z</dcterms:created>
  <dcterms:modified xsi:type="dcterms:W3CDTF">2024-12-19T08:57:40Z</dcterms:modified>
</cp:coreProperties>
</file>